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450" yWindow="240" windowWidth="13155" windowHeight="11760"/>
  </bookViews>
  <sheets>
    <sheet name="2020 год" sheetId="2" r:id="rId1"/>
    <sheet name="2020 год (2)" sheetId="3" r:id="rId2"/>
  </sheets>
  <calcPr calcId="125725"/>
</workbook>
</file>

<file path=xl/calcChain.xml><?xml version="1.0" encoding="utf-8"?>
<calcChain xmlns="http://schemas.openxmlformats.org/spreadsheetml/2006/main">
  <c r="E31" i="2"/>
  <c r="H31" s="1"/>
  <c r="H32"/>
  <c r="F32"/>
  <c r="F31" l="1"/>
  <c r="H29" l="1"/>
  <c r="H28"/>
  <c r="F29"/>
  <c r="F28"/>
  <c r="E28"/>
  <c r="E25"/>
  <c r="H25" s="1"/>
  <c r="B42" i="3"/>
  <c r="I41"/>
  <c r="I39" s="1"/>
  <c r="E41"/>
  <c r="O41" s="1"/>
  <c r="D41"/>
  <c r="O40"/>
  <c r="N40"/>
  <c r="I40"/>
  <c r="P39"/>
  <c r="N39"/>
  <c r="M39"/>
  <c r="L39"/>
  <c r="K39"/>
  <c r="J39"/>
  <c r="H39"/>
  <c r="G39"/>
  <c r="F39"/>
  <c r="I38"/>
  <c r="E38"/>
  <c r="O38" s="1"/>
  <c r="O37"/>
  <c r="N37"/>
  <c r="I37"/>
  <c r="P36"/>
  <c r="N36"/>
  <c r="M36"/>
  <c r="L36"/>
  <c r="K36"/>
  <c r="J36"/>
  <c r="I36"/>
  <c r="H36"/>
  <c r="G36"/>
  <c r="F36"/>
  <c r="E35"/>
  <c r="I35" s="1"/>
  <c r="I33" s="1"/>
  <c r="O34"/>
  <c r="N34"/>
  <c r="I34"/>
  <c r="P33"/>
  <c r="N33"/>
  <c r="M33"/>
  <c r="L33"/>
  <c r="K33"/>
  <c r="J33"/>
  <c r="H33"/>
  <c r="G33"/>
  <c r="F33"/>
  <c r="O32"/>
  <c r="I32"/>
  <c r="E32"/>
  <c r="O31"/>
  <c r="N31"/>
  <c r="I31"/>
  <c r="P30"/>
  <c r="N30"/>
  <c r="M30"/>
  <c r="L30"/>
  <c r="K30"/>
  <c r="J30"/>
  <c r="I30"/>
  <c r="H30"/>
  <c r="G30"/>
  <c r="F30"/>
  <c r="O29"/>
  <c r="I29"/>
  <c r="E29"/>
  <c r="O28"/>
  <c r="N28"/>
  <c r="I28"/>
  <c r="P27"/>
  <c r="N27"/>
  <c r="M27"/>
  <c r="L27"/>
  <c r="K27"/>
  <c r="J27"/>
  <c r="I27"/>
  <c r="H27"/>
  <c r="G27"/>
  <c r="F27"/>
  <c r="I26"/>
  <c r="H26"/>
  <c r="F26"/>
  <c r="E26"/>
  <c r="O26" s="1"/>
  <c r="O25"/>
  <c r="N25"/>
  <c r="N24" s="1"/>
  <c r="H25"/>
  <c r="F25"/>
  <c r="F24" s="1"/>
  <c r="P24"/>
  <c r="M24"/>
  <c r="L24"/>
  <c r="K24"/>
  <c r="J24"/>
  <c r="H24"/>
  <c r="G24"/>
  <c r="H23"/>
  <c r="H21" s="1"/>
  <c r="F23"/>
  <c r="E23"/>
  <c r="I23" s="1"/>
  <c r="D23"/>
  <c r="O22"/>
  <c r="N22"/>
  <c r="N21" s="1"/>
  <c r="H22"/>
  <c r="F22"/>
  <c r="F21" s="1"/>
  <c r="P21"/>
  <c r="M21"/>
  <c r="L21"/>
  <c r="K21"/>
  <c r="J21"/>
  <c r="G21"/>
  <c r="E21"/>
  <c r="E42" s="1"/>
  <c r="I20"/>
  <c r="H20"/>
  <c r="F20"/>
  <c r="E20"/>
  <c r="O20" s="1"/>
  <c r="O19"/>
  <c r="N19"/>
  <c r="N18" s="1"/>
  <c r="H19"/>
  <c r="F19"/>
  <c r="F18" s="1"/>
  <c r="P18"/>
  <c r="M18"/>
  <c r="L18"/>
  <c r="K18"/>
  <c r="J18"/>
  <c r="H18"/>
  <c r="G18"/>
  <c r="H17"/>
  <c r="F17"/>
  <c r="E17"/>
  <c r="I17" s="1"/>
  <c r="N16"/>
  <c r="N15" s="1"/>
  <c r="E16"/>
  <c r="O16" s="1"/>
  <c r="P15"/>
  <c r="M15"/>
  <c r="L15"/>
  <c r="K15"/>
  <c r="J15"/>
  <c r="G15"/>
  <c r="H14"/>
  <c r="F14"/>
  <c r="E14"/>
  <c r="I14" s="1"/>
  <c r="N13"/>
  <c r="N12" s="1"/>
  <c r="E13"/>
  <c r="O13" s="1"/>
  <c r="P12"/>
  <c r="M12"/>
  <c r="L12"/>
  <c r="K12"/>
  <c r="J12"/>
  <c r="G12"/>
  <c r="D12"/>
  <c r="Q12" s="1"/>
  <c r="B12"/>
  <c r="B15" s="1"/>
  <c r="H11"/>
  <c r="F11"/>
  <c r="E11"/>
  <c r="I11" s="1"/>
  <c r="N10"/>
  <c r="N9" s="1"/>
  <c r="E10"/>
  <c r="O10" s="1"/>
  <c r="P9"/>
  <c r="Q9" s="1"/>
  <c r="M9"/>
  <c r="L9"/>
  <c r="K9"/>
  <c r="J9"/>
  <c r="G9"/>
  <c r="O8"/>
  <c r="N8"/>
  <c r="I8"/>
  <c r="H8"/>
  <c r="F8"/>
  <c r="N7"/>
  <c r="E7"/>
  <c r="O7" s="1"/>
  <c r="D7"/>
  <c r="P6"/>
  <c r="N6"/>
  <c r="M6"/>
  <c r="M42" s="1"/>
  <c r="L6"/>
  <c r="L42" s="1"/>
  <c r="K6"/>
  <c r="K42" s="1"/>
  <c r="J6"/>
  <c r="J42" s="1"/>
  <c r="G6"/>
  <c r="D6"/>
  <c r="Q6" s="1"/>
  <c r="B6"/>
  <c r="B10" s="1"/>
  <c r="D10" s="1"/>
  <c r="H26" i="2"/>
  <c r="F26"/>
  <c r="E21"/>
  <c r="H23"/>
  <c r="H22"/>
  <c r="F23"/>
  <c r="F22"/>
  <c r="H20"/>
  <c r="H19"/>
  <c r="F20"/>
  <c r="F19"/>
  <c r="F25" l="1"/>
  <c r="B18" i="3"/>
  <c r="D15"/>
  <c r="Q15" s="1"/>
  <c r="N42"/>
  <c r="O42"/>
  <c r="I16"/>
  <c r="I15" s="1"/>
  <c r="H7"/>
  <c r="H6" s="1"/>
  <c r="H10"/>
  <c r="H9" s="1"/>
  <c r="O11"/>
  <c r="H13"/>
  <c r="H12" s="1"/>
  <c r="O14"/>
  <c r="H16"/>
  <c r="H15" s="1"/>
  <c r="O17"/>
  <c r="I19"/>
  <c r="I18" s="1"/>
  <c r="I22"/>
  <c r="I21" s="1"/>
  <c r="O23"/>
  <c r="I25"/>
  <c r="I24" s="1"/>
  <c r="O35"/>
  <c r="P42"/>
  <c r="F7"/>
  <c r="F6" s="1"/>
  <c r="F10"/>
  <c r="F9" s="1"/>
  <c r="F13"/>
  <c r="F12" s="1"/>
  <c r="F16"/>
  <c r="F15" s="1"/>
  <c r="H17" i="2"/>
  <c r="H16"/>
  <c r="F17"/>
  <c r="F16"/>
  <c r="E16"/>
  <c r="H14"/>
  <c r="H13"/>
  <c r="F14"/>
  <c r="F13"/>
  <c r="B21" i="3" l="1"/>
  <c r="D18"/>
  <c r="Q18" s="1"/>
  <c r="I7"/>
  <c r="I6" s="1"/>
  <c r="I10"/>
  <c r="I9" s="1"/>
  <c r="I13"/>
  <c r="I12" s="1"/>
  <c r="E13" i="2"/>
  <c r="Q39"/>
  <c r="Q36"/>
  <c r="Q33"/>
  <c r="Q30"/>
  <c r="Q6"/>
  <c r="D39"/>
  <c r="D21"/>
  <c r="B39"/>
  <c r="B36"/>
  <c r="B33"/>
  <c r="B30"/>
  <c r="B27"/>
  <c r="B24"/>
  <c r="B21"/>
  <c r="B18"/>
  <c r="B15"/>
  <c r="B12"/>
  <c r="B10"/>
  <c r="B6"/>
  <c r="B24" i="3" l="1"/>
  <c r="D21"/>
  <c r="Q21" s="1"/>
  <c r="D6" i="2"/>
  <c r="B27" i="3" l="1"/>
  <c r="D24"/>
  <c r="Q24" s="1"/>
  <c r="N40" i="2"/>
  <c r="N39" s="1"/>
  <c r="N37"/>
  <c r="N34"/>
  <c r="N31"/>
  <c r="N28"/>
  <c r="N27" s="1"/>
  <c r="N25"/>
  <c r="N22"/>
  <c r="N21" s="1"/>
  <c r="N19"/>
  <c r="N18" s="1"/>
  <c r="N16"/>
  <c r="N15" s="1"/>
  <c r="N13"/>
  <c r="N12" s="1"/>
  <c r="I41"/>
  <c r="I39" s="1"/>
  <c r="I40"/>
  <c r="I38"/>
  <c r="I37"/>
  <c r="I35"/>
  <c r="I34"/>
  <c r="I33" s="1"/>
  <c r="I32"/>
  <c r="I31"/>
  <c r="I29"/>
  <c r="I28"/>
  <c r="I26"/>
  <c r="I25"/>
  <c r="I23"/>
  <c r="I22"/>
  <c r="I20"/>
  <c r="I19"/>
  <c r="I17"/>
  <c r="I16"/>
  <c r="I14"/>
  <c r="I12" s="1"/>
  <c r="I13"/>
  <c r="I15"/>
  <c r="E41"/>
  <c r="O41" s="1"/>
  <c r="E38"/>
  <c r="O38" s="1"/>
  <c r="E35"/>
  <c r="E32"/>
  <c r="O32" s="1"/>
  <c r="E29"/>
  <c r="O29" s="1"/>
  <c r="E26"/>
  <c r="O26" s="1"/>
  <c r="E23"/>
  <c r="E20"/>
  <c r="O20" s="1"/>
  <c r="E17"/>
  <c r="O17" s="1"/>
  <c r="E14"/>
  <c r="O14" s="1"/>
  <c r="B42"/>
  <c r="O40"/>
  <c r="O37"/>
  <c r="O35"/>
  <c r="O34"/>
  <c r="O31"/>
  <c r="O28"/>
  <c r="O25"/>
  <c r="O23"/>
  <c r="O22"/>
  <c r="O19"/>
  <c r="O16"/>
  <c r="O13"/>
  <c r="E42"/>
  <c r="P39"/>
  <c r="M39"/>
  <c r="L39"/>
  <c r="K39"/>
  <c r="J39"/>
  <c r="H39"/>
  <c r="G39"/>
  <c r="F39"/>
  <c r="P36"/>
  <c r="N36"/>
  <c r="M36"/>
  <c r="L36"/>
  <c r="K36"/>
  <c r="J36"/>
  <c r="I36"/>
  <c r="H36"/>
  <c r="G36"/>
  <c r="F36"/>
  <c r="P33"/>
  <c r="N33"/>
  <c r="M33"/>
  <c r="L33"/>
  <c r="K33"/>
  <c r="J33"/>
  <c r="H33"/>
  <c r="G33"/>
  <c r="F33"/>
  <c r="P30"/>
  <c r="N30"/>
  <c r="M30"/>
  <c r="L30"/>
  <c r="K30"/>
  <c r="J30"/>
  <c r="H30"/>
  <c r="G30"/>
  <c r="F30"/>
  <c r="P27"/>
  <c r="Q27" s="1"/>
  <c r="M27"/>
  <c r="L27"/>
  <c r="K27"/>
  <c r="J27"/>
  <c r="H27"/>
  <c r="G27"/>
  <c r="F27"/>
  <c r="P24"/>
  <c r="Q24" s="1"/>
  <c r="N24"/>
  <c r="M24"/>
  <c r="L24"/>
  <c r="K24"/>
  <c r="J24"/>
  <c r="H24"/>
  <c r="G24"/>
  <c r="F24"/>
  <c r="P21"/>
  <c r="Q21" s="1"/>
  <c r="M21"/>
  <c r="L21"/>
  <c r="K21"/>
  <c r="J21"/>
  <c r="H21"/>
  <c r="G21"/>
  <c r="F21"/>
  <c r="P18"/>
  <c r="Q18" s="1"/>
  <c r="M18"/>
  <c r="L18"/>
  <c r="L42" s="1"/>
  <c r="K18"/>
  <c r="J18"/>
  <c r="H18"/>
  <c r="G18"/>
  <c r="F18"/>
  <c r="P15"/>
  <c r="Q15" s="1"/>
  <c r="M15"/>
  <c r="L15"/>
  <c r="K15"/>
  <c r="J15"/>
  <c r="H15"/>
  <c r="G15"/>
  <c r="F15"/>
  <c r="P12"/>
  <c r="Q12" s="1"/>
  <c r="M12"/>
  <c r="L12"/>
  <c r="K12"/>
  <c r="J12"/>
  <c r="H12"/>
  <c r="G12"/>
  <c r="F12"/>
  <c r="P9"/>
  <c r="Q9" s="1"/>
  <c r="O11"/>
  <c r="N10"/>
  <c r="K9"/>
  <c r="L9"/>
  <c r="M9"/>
  <c r="J9"/>
  <c r="H11"/>
  <c r="H10"/>
  <c r="F11"/>
  <c r="I11" s="1"/>
  <c r="F10"/>
  <c r="G9"/>
  <c r="E10"/>
  <c r="E11"/>
  <c r="P6"/>
  <c r="N6"/>
  <c r="J6"/>
  <c r="K6"/>
  <c r="L6"/>
  <c r="M6"/>
  <c r="G6"/>
  <c r="H6"/>
  <c r="I6"/>
  <c r="F6"/>
  <c r="E7"/>
  <c r="K42" l="1"/>
  <c r="I30"/>
  <c r="M42"/>
  <c r="J42"/>
  <c r="I27"/>
  <c r="B30" i="3"/>
  <c r="D27"/>
  <c r="Q27" s="1"/>
  <c r="I24" i="2"/>
  <c r="I21"/>
  <c r="I18"/>
  <c r="N42"/>
  <c r="P42"/>
  <c r="N9"/>
  <c r="H9"/>
  <c r="I10"/>
  <c r="I9" s="1"/>
  <c r="F9"/>
  <c r="N8"/>
  <c r="D30" i="3" l="1"/>
  <c r="Q30" s="1"/>
  <c r="B33"/>
  <c r="O8" i="2"/>
  <c r="D33" i="3" l="1"/>
  <c r="Q33" s="1"/>
  <c r="B36"/>
  <c r="H8" i="2"/>
  <c r="I8" s="1"/>
  <c r="H7"/>
  <c r="F8"/>
  <c r="Q42" i="3" l="1"/>
  <c r="B39"/>
  <c r="D39" s="1"/>
  <c r="Q39" s="1"/>
  <c r="D36"/>
  <c r="Q36" s="1"/>
  <c r="N7" i="2"/>
  <c r="F7"/>
  <c r="O10" l="1"/>
  <c r="O7"/>
  <c r="O42" l="1"/>
  <c r="I7"/>
  <c r="D7"/>
  <c r="D10" l="1"/>
  <c r="D12" l="1"/>
  <c r="D15" l="1"/>
  <c r="D18" l="1"/>
  <c r="D23" l="1"/>
  <c r="D24" l="1"/>
  <c r="D27" l="1"/>
  <c r="D30" l="1"/>
  <c r="D33" l="1"/>
  <c r="Q42" l="1"/>
  <c r="D36"/>
  <c r="D41"/>
</calcChain>
</file>

<file path=xl/sharedStrings.xml><?xml version="1.0" encoding="utf-8"?>
<sst xmlns="http://schemas.openxmlformats.org/spreadsheetml/2006/main" count="74" uniqueCount="32">
  <si>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</si>
  <si>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</si>
  <si>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</si>
  <si>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</si>
  <si>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</si>
  <si>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</si>
  <si>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</si>
  <si>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</si>
  <si>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</si>
  <si>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</si>
  <si>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</si>
  <si>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</si>
  <si>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</si>
  <si>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</si>
  <si>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</si>
  <si>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</si>
  <si>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</si>
  <si>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</si>
  <si>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</si>
  <si>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</si>
  <si>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</si>
  <si>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</si>
  <si>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</si>
  <si>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</si>
  <si>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в т.ч. по уровням напряжения</t>
  </si>
  <si>
    <t>ВН</t>
  </si>
  <si>
    <t>СН1</t>
  </si>
  <si>
    <t>СН2</t>
  </si>
  <si>
    <t>НН</t>
  </si>
  <si>
    <t>в % к полезному отпуску</t>
  </si>
  <si>
    <t>Всего</t>
  </si>
  <si>
    <t>2020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</si>
</sst>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1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0"/>
    <numFmt numFmtId="165" formatCode="&quot;$&quot;#,##0_);[Red]\(&quot;$&quot;#,##0\)"/>
    <numFmt numFmtId="166" formatCode="_-* #,##0.00[$€-1]_-;\-* #,##0.00[$€-1]_-;_-* &quot;-&quot;??[$€-1]_-"/>
    <numFmt numFmtId="167" formatCode="#,##0.0000"/>
    <numFmt numFmtId="168" formatCode="#,##0.0"/>
    <numFmt numFmtId="169" formatCode="0.000"/>
    <numFmt numFmtId="170" formatCode="0.0000"/>
  </numFmts>
  <fonts count="44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u/>
      <sz val="9"/>
      <color rgb="FF333399"/>
      <name val="Tahoma"/>
      <family val="2"/>
      <charset val="204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rgb="FFFF0000"/>
      <name val="Times New Roman"/>
      <family val="1"/>
      <charset val="204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93">
    <xf numFmtId="0" fontId="0" fillId="0" borderId="0"/>
    <xf numFmtId="0" fontId="6" fillId="0" borderId="16" applyNumberFormat="0" applyFill="0" applyAlignment="0" applyProtection="0"/>
    <xf numFmtId="0" fontId="7" fillId="0" borderId="17" applyNumberFormat="0" applyFill="0" applyAlignment="0" applyProtection="0"/>
    <xf numFmtId="0" fontId="8" fillId="0" borderId="18" applyNumberFormat="0" applyFill="0" applyAlignment="0" applyProtection="0"/>
    <xf numFmtId="0" fontId="12" fillId="5" borderId="20" applyNumberFormat="0" applyAlignment="0" applyProtection="0"/>
    <xf numFmtId="0" fontId="13" fillId="5" borderId="19" applyNumberFormat="0" applyAlignment="0" applyProtection="0"/>
    <xf numFmtId="0" fontId="14" fillId="0" borderId="21" applyNumberFormat="0" applyFill="0" applyAlignment="0" applyProtection="0"/>
    <xf numFmtId="0" fontId="15" fillId="6" borderId="22" applyNumberFormat="0" applyAlignment="0" applyProtection="0"/>
    <xf numFmtId="0" fontId="18" fillId="0" borderId="24" applyNumberFormat="0" applyFill="0" applyAlignment="0" applyProtection="0"/>
    <xf numFmtId="0" fontId="20" fillId="0" borderId="1">
      <alignment horizontal="left" vertical="center"/>
    </xf>
    <xf numFmtId="0" fontId="25" fillId="0" borderId="1"/>
    <xf numFmtId="166" fontId="25" fillId="0" borderId="1"/>
    <xf numFmtId="0" fontId="26" fillId="0" borderId="1"/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0" fontId="34" fillId="0" borderId="25" applyNumberFormat="0" applyAlignment="0">
      <protection locked="0"/>
    </xf>
    <xf numFmtId="165" fontId="27" fillId="0" borderId="1" applyFont="0" applyFill="0" applyBorder="0" applyAlignment="0" applyProtection="0"/>
    <xf numFmtId="168" fontId="20" fillId="32" borderId="1">
      <protection locked="0"/>
    </xf>
    <xf numFmtId="0" fontId="28" fillId="0" borderId="1" applyFill="0" applyBorder="0" applyProtection="0">
      <alignment vertical="center"/>
    </xf>
    <xf numFmtId="164" fontId="20" fillId="32" borderId="1">
      <protection locked="0"/>
    </xf>
    <xf numFmtId="167" fontId="20" fillId="32" borderId="1">
      <protection locked="0"/>
    </xf>
    <xf numFmtId="0" fontId="29" fillId="0" borderId="1" applyNumberFormat="0" applyFill="0" applyBorder="0" applyAlignment="0" applyProtection="0">
      <alignment vertical="top"/>
      <protection locked="0"/>
    </xf>
    <xf numFmtId="0" fontId="34" fillId="33" borderId="25" applyNumberFormat="0" applyAlignment="0"/>
    <xf numFmtId="0" fontId="30" fillId="0" borderId="1" applyNumberFormat="0" applyFill="0" applyBorder="0" applyAlignment="0" applyProtection="0">
      <alignment vertical="top"/>
      <protection locked="0"/>
    </xf>
    <xf numFmtId="0" fontId="31" fillId="0" borderId="1" applyNumberFormat="0" applyFill="0" applyBorder="0" applyAlignment="0" applyProtection="0"/>
    <xf numFmtId="0" fontId="32" fillId="0" borderId="1"/>
    <xf numFmtId="0" fontId="28" fillId="0" borderId="1" applyFill="0" applyBorder="0" applyProtection="0">
      <alignment vertical="center"/>
    </xf>
    <xf numFmtId="0" fontId="28" fillId="0" borderId="1" applyFill="0" applyBorder="0" applyProtection="0">
      <alignment vertical="center"/>
    </xf>
    <xf numFmtId="49" fontId="37" fillId="34" borderId="26" applyNumberFormat="0">
      <alignment horizontal="center" vertical="center"/>
    </xf>
    <xf numFmtId="0" fontId="23" fillId="35" borderId="25" applyNumberFormat="0" applyAlignment="0" applyProtection="0"/>
    <xf numFmtId="0" fontId="24" fillId="0" borderId="1" applyNumberFormat="0" applyFill="0" applyBorder="0" applyAlignment="0" applyProtection="0">
      <alignment vertical="top"/>
      <protection locked="0"/>
    </xf>
    <xf numFmtId="0" fontId="24" fillId="0" borderId="1" applyNumberFormat="0" applyFill="0" applyBorder="0" applyAlignment="0" applyProtection="0">
      <alignment vertical="top"/>
      <protection locked="0"/>
    </xf>
    <xf numFmtId="0" fontId="36" fillId="0" borderId="1" applyNumberFormat="0" applyFill="0" applyBorder="0" applyAlignment="0" applyProtection="0">
      <alignment vertical="top"/>
      <protection locked="0"/>
    </xf>
    <xf numFmtId="0" fontId="39" fillId="0" borderId="1" applyNumberFormat="0" applyFill="0" applyBorder="0" applyAlignment="0" applyProtection="0">
      <alignment vertical="top"/>
      <protection locked="0"/>
    </xf>
    <xf numFmtId="0" fontId="33" fillId="0" borderId="1" applyBorder="0">
      <alignment horizontal="center" vertical="center" wrapText="1"/>
    </xf>
    <xf numFmtId="0" fontId="21" fillId="0" borderId="27" applyBorder="0">
      <alignment horizontal="center" vertical="center" wrapText="1"/>
    </xf>
    <xf numFmtId="49" fontId="20" fillId="0" borderId="1" applyBorder="0">
      <alignment vertical="top"/>
    </xf>
    <xf numFmtId="0" fontId="1" fillId="0" borderId="1"/>
    <xf numFmtId="0" fontId="1" fillId="0" borderId="1"/>
    <xf numFmtId="0" fontId="20" fillId="0" borderId="1">
      <alignment horizontal="left" vertical="center"/>
    </xf>
    <xf numFmtId="0" fontId="35" fillId="36" borderId="1" applyNumberFormat="0" applyBorder="0" applyAlignment="0">
      <alignment horizontal="left" vertical="center"/>
    </xf>
    <xf numFmtId="49" fontId="20" fillId="36" borderId="1" applyBorder="0">
      <alignment vertical="top"/>
    </xf>
    <xf numFmtId="0" fontId="5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9" fillId="2" borderId="1" applyNumberFormat="0" applyBorder="0" applyAlignment="0" applyProtection="0"/>
    <xf numFmtId="0" fontId="10" fillId="3" borderId="1" applyNumberFormat="0" applyBorder="0" applyAlignment="0" applyProtection="0"/>
    <xf numFmtId="0" fontId="11" fillId="4" borderId="1" applyNumberFormat="0" applyBorder="0" applyAlignment="0" applyProtection="0"/>
    <xf numFmtId="0" fontId="16" fillId="0" borderId="1" applyNumberFormat="0" applyFill="0" applyBorder="0" applyAlignment="0" applyProtection="0"/>
    <xf numFmtId="0" fontId="20" fillId="7" borderId="23" applyNumberFormat="0" applyFont="0" applyAlignment="0" applyProtection="0"/>
    <xf numFmtId="0" fontId="17" fillId="0" borderId="1" applyNumberFormat="0" applyFill="0" applyBorder="0" applyAlignment="0" applyProtection="0"/>
    <xf numFmtId="0" fontId="19" fillId="8" borderId="1" applyNumberFormat="0" applyBorder="0" applyAlignment="0" applyProtection="0"/>
    <xf numFmtId="0" fontId="1" fillId="9" borderId="1" applyNumberFormat="0" applyBorder="0" applyAlignment="0" applyProtection="0"/>
    <xf numFmtId="0" fontId="1" fillId="10" borderId="1" applyNumberFormat="0" applyBorder="0" applyAlignment="0" applyProtection="0"/>
    <xf numFmtId="0" fontId="19" fillId="11" borderId="1" applyNumberFormat="0" applyBorder="0" applyAlignment="0" applyProtection="0"/>
    <xf numFmtId="0" fontId="19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19" fillId="15" borderId="1" applyNumberFormat="0" applyBorder="0" applyAlignment="0" applyProtection="0"/>
    <xf numFmtId="0" fontId="19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19" fillId="19" borderId="1" applyNumberFormat="0" applyBorder="0" applyAlignment="0" applyProtection="0"/>
    <xf numFmtId="0" fontId="19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19" fillId="23" borderId="1" applyNumberFormat="0" applyBorder="0" applyAlignment="0" applyProtection="0"/>
    <xf numFmtId="0" fontId="19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19" fillId="27" borderId="1" applyNumberFormat="0" applyBorder="0" applyAlignment="0" applyProtection="0"/>
    <xf numFmtId="0" fontId="19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19" fillId="31" borderId="1" applyNumberFormat="0" applyBorder="0" applyAlignment="0" applyProtection="0"/>
    <xf numFmtId="43" fontId="20" fillId="0" borderId="1" applyFont="0" applyFill="0" applyBorder="0" applyAlignment="0" applyProtection="0"/>
    <xf numFmtId="41" fontId="20" fillId="0" borderId="1" applyFont="0" applyFill="0" applyBorder="0" applyAlignment="0" applyProtection="0"/>
    <xf numFmtId="44" fontId="20" fillId="0" borderId="1" applyFont="0" applyFill="0" applyBorder="0" applyAlignment="0" applyProtection="0"/>
    <xf numFmtId="42" fontId="20" fillId="0" borderId="1" applyFont="0" applyFill="0" applyBorder="0" applyAlignment="0" applyProtection="0"/>
    <xf numFmtId="9" fontId="20" fillId="0" borderId="1" applyFont="0" applyFill="0" applyBorder="0" applyAlignment="0" applyProtection="0"/>
    <xf numFmtId="0" fontId="40" fillId="0" borderId="1" applyNumberFormat="0" applyFill="0" applyBorder="0" applyAlignment="0" applyProtection="0">
      <alignment horizontal="left" vertical="center"/>
    </xf>
    <xf numFmtId="0" fontId="41" fillId="0" borderId="1"/>
    <xf numFmtId="43" fontId="42" fillId="0" borderId="0" applyFont="0" applyFill="0" applyBorder="0" applyAlignment="0" applyProtection="0"/>
    <xf numFmtId="0" fontId="41" fillId="0" borderId="1"/>
  </cellStyleXfs>
  <cellXfs count="65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top"/>
    </xf>
    <xf numFmtId="4" fontId="2" fillId="0" borderId="15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top"/>
    </xf>
    <xf numFmtId="4" fontId="2" fillId="0" borderId="14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2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0" fontId="3" fillId="0" borderId="15" xfId="0" applyFont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top"/>
    </xf>
    <xf numFmtId="164" fontId="2" fillId="0" borderId="15" xfId="0" applyNumberFormat="1" applyFont="1" applyFill="1" applyBorder="1" applyAlignment="1">
      <alignment horizontal="center" vertical="top"/>
    </xf>
    <xf numFmtId="167" fontId="2" fillId="0" borderId="15" xfId="0" applyNumberFormat="1" applyFont="1" applyFill="1" applyBorder="1" applyAlignment="1">
      <alignment horizontal="center" vertical="top"/>
    </xf>
    <xf numFmtId="0" fontId="2" fillId="0" borderId="0" xfId="0" applyFont="1" applyFill="1"/>
    <xf numFmtId="164" fontId="38" fillId="0" borderId="28" xfId="46" applyNumberFormat="1" applyFont="1" applyFill="1" applyBorder="1" applyAlignment="1" applyProtection="1">
      <alignment horizontal="right" vertical="center"/>
    </xf>
    <xf numFmtId="169" fontId="2" fillId="0" borderId="15" xfId="0" applyNumberFormat="1" applyFont="1" applyFill="1" applyBorder="1" applyAlignment="1">
      <alignment horizontal="center" vertical="top"/>
    </xf>
    <xf numFmtId="170" fontId="2" fillId="0" borderId="15" xfId="0" applyNumberFormat="1" applyFont="1" applyFill="1" applyBorder="1" applyAlignment="1">
      <alignment horizontal="center" vertical="top"/>
    </xf>
    <xf numFmtId="4" fontId="2" fillId="0" borderId="0" xfId="0" applyNumberFormat="1" applyFont="1" applyFill="1"/>
    <xf numFmtId="164" fontId="2" fillId="38" borderId="1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 vertical="center"/>
    </xf>
    <xf numFmtId="4" fontId="2" fillId="37" borderId="15" xfId="0" applyNumberFormat="1" applyFont="1" applyFill="1" applyBorder="1" applyAlignment="1">
      <alignment horizontal="center" vertical="center"/>
    </xf>
    <xf numFmtId="4" fontId="2" fillId="39" borderId="15" xfId="0" applyNumberFormat="1" applyFont="1" applyFill="1" applyBorder="1" applyAlignment="1">
      <alignment horizontal="center" vertical="top"/>
    </xf>
    <xf numFmtId="164" fontId="3" fillId="37" borderId="9" xfId="0" applyNumberFormat="1" applyFont="1" applyFill="1" applyBorder="1" applyAlignment="1">
      <alignment horizontal="center" vertical="top"/>
    </xf>
    <xf numFmtId="4" fontId="3" fillId="37" borderId="9" xfId="91" applyNumberFormat="1" applyFont="1" applyFill="1" applyBorder="1" applyAlignment="1">
      <alignment horizontal="center" vertical="top"/>
    </xf>
    <xf numFmtId="167" fontId="3" fillId="37" borderId="9" xfId="91" applyNumberFormat="1" applyFont="1" applyFill="1" applyBorder="1" applyAlignment="1">
      <alignment horizontal="center" vertical="top"/>
    </xf>
    <xf numFmtId="2" fontId="2" fillId="0" borderId="29" xfId="0" applyNumberFormat="1" applyFont="1" applyBorder="1" applyAlignment="1">
      <alignment horizontal="center" vertical="center"/>
    </xf>
    <xf numFmtId="3" fontId="3" fillId="37" borderId="9" xfId="0" applyNumberFormat="1" applyFont="1" applyFill="1" applyBorder="1" applyAlignment="1">
      <alignment horizontal="center" vertical="top"/>
    </xf>
    <xf numFmtId="3" fontId="2" fillId="39" borderId="9" xfId="0" applyNumberFormat="1" applyFont="1" applyFill="1" applyBorder="1" applyAlignment="1">
      <alignment horizontal="center" vertical="top"/>
    </xf>
    <xf numFmtId="3" fontId="2" fillId="39" borderId="15" xfId="0" applyNumberFormat="1" applyFont="1" applyFill="1" applyBorder="1" applyAlignment="1">
      <alignment horizontal="center" vertical="top"/>
    </xf>
    <xf numFmtId="3" fontId="2" fillId="0" borderId="15" xfId="0" applyNumberFormat="1" applyFont="1" applyFill="1" applyBorder="1" applyAlignment="1">
      <alignment horizontal="center" vertical="top"/>
    </xf>
    <xf numFmtId="4" fontId="2" fillId="39" borderId="8" xfId="0" applyNumberFormat="1" applyFont="1" applyFill="1" applyBorder="1" applyAlignment="1">
      <alignment horizontal="center" vertical="center"/>
    </xf>
    <xf numFmtId="4" fontId="2" fillId="39" borderId="15" xfId="0" applyNumberFormat="1" applyFont="1" applyFill="1" applyBorder="1" applyAlignment="1">
      <alignment horizontal="center" vertical="center"/>
    </xf>
    <xf numFmtId="3" fontId="2" fillId="0" borderId="0" xfId="0" applyNumberFormat="1" applyFont="1"/>
    <xf numFmtId="164" fontId="2" fillId="39" borderId="11" xfId="0" applyNumberFormat="1" applyFont="1" applyFill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top"/>
    </xf>
    <xf numFmtId="3" fontId="3" fillId="37" borderId="9" xfId="91" applyNumberFormat="1" applyFont="1" applyFill="1" applyBorder="1" applyAlignment="1">
      <alignment horizontal="center" vertical="top"/>
    </xf>
    <xf numFmtId="170" fontId="3" fillId="0" borderId="3" xfId="0" applyNumberFormat="1" applyFont="1" applyBorder="1" applyAlignment="1">
      <alignment horizontal="center" vertical="center" wrapText="1"/>
    </xf>
    <xf numFmtId="168" fontId="2" fillId="0" borderId="15" xfId="0" applyNumberFormat="1" applyFont="1" applyFill="1" applyBorder="1" applyAlignment="1">
      <alignment horizontal="center" vertical="top"/>
    </xf>
    <xf numFmtId="2" fontId="2" fillId="0" borderId="29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29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</cellXfs>
  <cellStyles count="93">
    <cellStyle name=" 1" xfId="10"/>
    <cellStyle name=" 1 2" xfId="11"/>
    <cellStyle name=" 1_Stage1" xfId="12"/>
    <cellStyle name="_Model_RAB Мой_PR.PROG.WARM.NOTCOMBI.2012.2.16_v1.4(04.04.11) " xfId="13"/>
    <cellStyle name="_Model_RAB Мой_Книга2_PR.PROG.WARM.NOTCOMBI.2012.2.16_v1.4(04.04.11) " xfId="14"/>
    <cellStyle name="_Model_RAB_MRSK_svod_PR.PROG.WARM.NOTCOMBI.2012.2.16_v1.4(04.04.11) " xfId="15"/>
    <cellStyle name="_Model_RAB_MRSK_svod_Книга2_PR.PROG.WARM.NOTCOMBI.2012.2.16_v1.4(04.04.11) " xfId="16"/>
    <cellStyle name="_МОДЕЛЬ_1 (2)_PR.PROG.WARM.NOTCOMBI.2012.2.16_v1.4(04.04.11) " xfId="17"/>
    <cellStyle name="_МОДЕЛЬ_1 (2)_Книга2_PR.PROG.WARM.NOTCOMBI.2012.2.16_v1.4(04.04.11) " xfId="18"/>
    <cellStyle name="_пр 5 тариф RAB_PR.PROG.WARM.NOTCOMBI.2012.2.16_v1.4(04.04.11) " xfId="19"/>
    <cellStyle name="_пр 5 тариф RAB_Книга2_PR.PROG.WARM.NOTCOMBI.2012.2.16_v1.4(04.04.11) " xfId="20"/>
    <cellStyle name="_Расчет RAB_22072008_PR.PROG.WARM.NOTCOMBI.2012.2.16_v1.4(04.04.11) " xfId="21"/>
    <cellStyle name="_Расчет RAB_22072008_Книга2_PR.PROG.WARM.NOTCOMBI.2012.2.16_v1.4(04.04.11) " xfId="22"/>
    <cellStyle name="_Расчет RAB_Лен и МОЭСК_с 2010 года_14.04.2009_со сглаж_version 3.0_без ФСК_PR.PROG.WARM.NOTCOMBI.2012.2.16_v1.4(04.04.11) " xfId="23"/>
    <cellStyle name="_Расчет RAB_Лен и МОЭСК_с 2010 года_14.04.2009_со сглаж_version 3.0_без ФСК_Книга2_PR.PROG.WARM.NOTCOMBI.2012.2.16_v1.4(04.04.11) " xfId="24"/>
    <cellStyle name="20% - Акцент1 2" xfId="61" hidden="1"/>
    <cellStyle name="20% - Акцент2 2" xfId="65" hidden="1"/>
    <cellStyle name="20% - Акцент3 2" xfId="69" hidden="1"/>
    <cellStyle name="20% - Акцент4 2" xfId="73" hidden="1"/>
    <cellStyle name="20% - Акцент5 2" xfId="77" hidden="1"/>
    <cellStyle name="20% - Акцент6 2" xfId="81" hidden="1"/>
    <cellStyle name="40% - Акцент1 2" xfId="62" hidden="1"/>
    <cellStyle name="40% - Акцент2 2" xfId="66" hidden="1"/>
    <cellStyle name="40% - Акцент3 2" xfId="70" hidden="1"/>
    <cellStyle name="40% - Акцент4 2" xfId="74" hidden="1"/>
    <cellStyle name="40% - Акцент5 2" xfId="78" hidden="1"/>
    <cellStyle name="40% - Акцент6 2" xfId="82" hidden="1"/>
    <cellStyle name="60% - Акцент1 2" xfId="63" hidden="1"/>
    <cellStyle name="60% - Акцент2 2" xfId="67" hidden="1"/>
    <cellStyle name="60% - Акцент3 2" xfId="71" hidden="1"/>
    <cellStyle name="60% - Акцент4 2" xfId="75" hidden="1"/>
    <cellStyle name="60% - Акцент5 2" xfId="79" hidden="1"/>
    <cellStyle name="60% - Акцент6 2" xfId="83" hidden="1"/>
    <cellStyle name="Cells 2" xfId="25"/>
    <cellStyle name="Currency [0]" xfId="26"/>
    <cellStyle name="currency1" xfId="27"/>
    <cellStyle name="Currency2" xfId="28"/>
    <cellStyle name="currency3" xfId="29"/>
    <cellStyle name="currency4" xfId="30"/>
    <cellStyle name="Followed Hyperlink" xfId="31"/>
    <cellStyle name="Header 3" xfId="32"/>
    <cellStyle name="Hyperlink" xfId="33"/>
    <cellStyle name="normal" xfId="34"/>
    <cellStyle name="Normal1" xfId="35"/>
    <cellStyle name="Normal2" xfId="36"/>
    <cellStyle name="Percent1" xfId="37"/>
    <cellStyle name="Title 4" xfId="38"/>
    <cellStyle name="Акцент1 2" xfId="60" hidden="1"/>
    <cellStyle name="Акцент2 2" xfId="64" hidden="1"/>
    <cellStyle name="Акцент3 2" xfId="68" hidden="1"/>
    <cellStyle name="Акцент4 2" xfId="72" hidden="1"/>
    <cellStyle name="Акцент5 2" xfId="76" hidden="1"/>
    <cellStyle name="Акцент6 2" xfId="80" hidden="1"/>
    <cellStyle name="Ввод  2" xfId="39"/>
    <cellStyle name="Вывод" xfId="4" builtinId="21" hidden="1"/>
    <cellStyle name="Вычисление" xfId="5" builtinId="22" hidden="1"/>
    <cellStyle name="Гиперссылка" xfId="40" builtinId="8" customBuiltin="1"/>
    <cellStyle name="Гиперссылка 2 2 2" xfId="41"/>
    <cellStyle name="Гиперссылка 4 6" xfId="42"/>
    <cellStyle name="Гиперссылка 5" xfId="43"/>
    <cellStyle name="Денежный [0] 2" xfId="87" hidden="1"/>
    <cellStyle name="Денежный 2" xfId="86" hidden="1"/>
    <cellStyle name="Заголовок" xfId="44"/>
    <cellStyle name="Заголовок 1" xfId="1" builtinId="16" hidden="1"/>
    <cellStyle name="Заголовок 2" xfId="2" builtinId="17" hidden="1"/>
    <cellStyle name="Заголовок 3" xfId="3" builtinId="18" hidden="1"/>
    <cellStyle name="Заголовок 4 2" xfId="53" hidden="1"/>
    <cellStyle name="ЗаголовокСтолбца" xfId="45"/>
    <cellStyle name="Итог" xfId="8" builtinId="25" hidden="1"/>
    <cellStyle name="Контрольная ячейка" xfId="7" builtinId="23" hidden="1"/>
    <cellStyle name="Название 2" xfId="52" hidden="1"/>
    <cellStyle name="Нейтральный 2" xfId="56" hidden="1"/>
    <cellStyle name="Обычный" xfId="0" builtinId="0"/>
    <cellStyle name="Обычный 10" xfId="46"/>
    <cellStyle name="Обычный 11" xfId="47"/>
    <cellStyle name="Обычный 11 2 3" xfId="92"/>
    <cellStyle name="Обычный 12 3 2" xfId="48"/>
    <cellStyle name="Обычный 2" xfId="9"/>
    <cellStyle name="Обычный 2 14" xfId="50"/>
    <cellStyle name="Обычный 2 2" xfId="49"/>
    <cellStyle name="Обычный 3" xfId="90"/>
    <cellStyle name="Обычный 3 3 2" xfId="51"/>
    <cellStyle name="Открывавшаяся гиперссылка" xfId="89" builtinId="9" hidden="1"/>
    <cellStyle name="Плохой 2" xfId="55" hidden="1"/>
    <cellStyle name="Пояснение 2" xfId="59" hidden="1"/>
    <cellStyle name="Примечание 2" xfId="58" hidden="1"/>
    <cellStyle name="Процентный 2" xfId="88" hidden="1"/>
    <cellStyle name="Связанная ячейка" xfId="6" builtinId="24" hidden="1"/>
    <cellStyle name="Текст предупреждения 2" xfId="57" hidden="1"/>
    <cellStyle name="Финансовый" xfId="91" builtinId="3"/>
    <cellStyle name="Финансовый [0] 2" xfId="85" hidden="1"/>
    <cellStyle name="Финансовый 2" xfId="84" hidden="1"/>
    <cellStyle name="Хороший 2" xfId="54" hidden="1"/>
  </cellStyles>
  <dxfs count="0"/>
  <tableStyles count="0" defaultTableStyle="TableStyleMedium2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3"/>
  <sheetViews>
    <sheetView tabSelected="1" topLeftCell="A13" workbookViewId="0">
      <selection activeCell="I30" sqref="I30"/>
    </sheetView>
  </sheetViews>
  <sheetFormatPr defaultRowHeight="12.75"/>
  <cols>
    <col min="1" max="1" width="13.140625" style="1" customWidth="1"/>
    <col min="2" max="2" width="10" style="1" customWidth="1"/>
    <col min="3" max="3" width="8.140625" style="1" customWidth="1"/>
    <col min="4" max="4" width="10.42578125" style="1" customWidth="1"/>
    <col min="5" max="5" width="11.7109375" style="1" customWidth="1"/>
    <col min="6" max="6" width="9.5703125" style="1" customWidth="1"/>
    <col min="7" max="7" width="5.42578125" style="1" customWidth="1"/>
    <col min="8" max="8" width="6.42578125" style="1" customWidth="1"/>
    <col min="9" max="9" width="8.42578125" style="1" customWidth="1"/>
    <col min="10" max="10" width="10" style="1" customWidth="1"/>
    <col min="11" max="11" width="10.28515625" style="1" customWidth="1"/>
    <col min="12" max="12" width="7.85546875" style="1" customWidth="1"/>
    <col min="13" max="14" width="9.7109375" style="1" customWidth="1"/>
    <col min="15" max="15" width="10.7109375" style="1" customWidth="1"/>
    <col min="16" max="16" width="10.5703125" style="1" customWidth="1"/>
    <col min="17" max="17" width="11.28515625" style="1" customWidth="1"/>
    <col min="18" max="18" width="9.140625" style="1"/>
    <col min="19" max="19" width="18.5703125" style="1" customWidth="1"/>
    <col min="20" max="16384" width="9.140625" style="1"/>
  </cols>
  <sheetData>
    <row r="1" spans="1:22" ht="15.75">
      <c r="A1" s="54" t="s">
        <v>31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1:22" ht="13.5" thickBot="1"/>
    <row r="3" spans="1:22" ht="25.5" customHeight="1" thickBot="1">
      <c r="A3" s="51" t="s">
        <v>12</v>
      </c>
      <c r="B3" s="55" t="s">
        <v>13</v>
      </c>
      <c r="C3" s="56"/>
      <c r="D3" s="57"/>
      <c r="E3" s="55" t="s">
        <v>14</v>
      </c>
      <c r="F3" s="56"/>
      <c r="G3" s="56"/>
      <c r="H3" s="56"/>
      <c r="I3" s="56"/>
      <c r="J3" s="56"/>
      <c r="K3" s="56"/>
      <c r="L3" s="56"/>
      <c r="M3" s="56"/>
      <c r="N3" s="56"/>
      <c r="O3" s="56"/>
      <c r="P3" s="57"/>
      <c r="Q3" s="2" t="s">
        <v>15</v>
      </c>
    </row>
    <row r="4" spans="1:22" ht="42.75" customHeight="1" thickBot="1">
      <c r="A4" s="52"/>
      <c r="B4" s="58" t="s">
        <v>21</v>
      </c>
      <c r="C4" s="58" t="s">
        <v>22</v>
      </c>
      <c r="D4" s="58" t="s">
        <v>16</v>
      </c>
      <c r="E4" s="4" t="s">
        <v>20</v>
      </c>
      <c r="F4" s="60" t="s">
        <v>24</v>
      </c>
      <c r="G4" s="61"/>
      <c r="H4" s="61"/>
      <c r="I4" s="62"/>
      <c r="J4" s="60" t="s">
        <v>29</v>
      </c>
      <c r="K4" s="61"/>
      <c r="L4" s="61"/>
      <c r="M4" s="61"/>
      <c r="N4" s="62"/>
      <c r="O4" s="63" t="s">
        <v>18</v>
      </c>
      <c r="P4" s="58" t="s">
        <v>17</v>
      </c>
      <c r="Q4" s="58" t="s">
        <v>19</v>
      </c>
    </row>
    <row r="5" spans="1:22" ht="42.75" customHeight="1" thickBot="1">
      <c r="A5" s="53"/>
      <c r="B5" s="59"/>
      <c r="C5" s="59"/>
      <c r="D5" s="59"/>
      <c r="E5" s="16" t="s">
        <v>30</v>
      </c>
      <c r="F5" s="16" t="s">
        <v>25</v>
      </c>
      <c r="G5" s="16" t="s">
        <v>26</v>
      </c>
      <c r="H5" s="16" t="s">
        <v>27</v>
      </c>
      <c r="I5" s="16" t="s">
        <v>28</v>
      </c>
      <c r="J5" s="16" t="s">
        <v>30</v>
      </c>
      <c r="K5" s="16" t="s">
        <v>25</v>
      </c>
      <c r="L5" s="16" t="s">
        <v>26</v>
      </c>
      <c r="M5" s="16" t="s">
        <v>27</v>
      </c>
      <c r="N5" s="16" t="s">
        <v>28</v>
      </c>
      <c r="O5" s="64"/>
      <c r="P5" s="59"/>
      <c r="Q5" s="59"/>
    </row>
    <row r="6" spans="1:22" ht="14.25" customHeight="1" thickBot="1">
      <c r="A6" s="48" t="s">
        <v>0</v>
      </c>
      <c r="B6" s="6">
        <f>B42/12</f>
        <v>208160.59625724051</v>
      </c>
      <c r="C6" s="44">
        <v>2.2027674060849902</v>
      </c>
      <c r="D6" s="26">
        <f>B6*C6</f>
        <v>458529.37666666659</v>
      </c>
      <c r="E6" s="34">
        <v>273475</v>
      </c>
      <c r="F6" s="34">
        <f>SUM(F7:F8)</f>
        <v>270961.76474999997</v>
      </c>
      <c r="G6" s="34">
        <f t="shared" ref="G6:I6" si="0">SUM(G7:G8)</f>
        <v>0</v>
      </c>
      <c r="H6" s="34">
        <f t="shared" si="0"/>
        <v>1331.8232499999999</v>
      </c>
      <c r="I6" s="34">
        <f t="shared" si="0"/>
        <v>1181.411999999998</v>
      </c>
      <c r="J6" s="30">
        <f>SUM(J7:J8)</f>
        <v>0.56800000000000006</v>
      </c>
      <c r="K6" s="32">
        <f t="shared" ref="K6" si="1">SUM(K7:K8)</f>
        <v>0.56279999999999997</v>
      </c>
      <c r="L6" s="43">
        <f t="shared" ref="L6" si="2">SUM(L7:L8)</f>
        <v>0</v>
      </c>
      <c r="M6" s="32">
        <f t="shared" ref="M6" si="3">SUM(M7:M8)</f>
        <v>2.7000000000000001E-3</v>
      </c>
      <c r="N6" s="32">
        <f>SUM(N7:N8)</f>
        <v>2.5000000000000378E-3</v>
      </c>
      <c r="O6" s="32"/>
      <c r="P6" s="31">
        <f>SUM(P7:P8)</f>
        <v>670333.75</v>
      </c>
      <c r="Q6" s="12">
        <f>D6-P6</f>
        <v>-211804.37333333341</v>
      </c>
    </row>
    <row r="7" spans="1:22" ht="13.5" thickBot="1">
      <c r="A7" s="50"/>
      <c r="B7" s="6"/>
      <c r="C7" s="44">
        <v>2.2027674060849902</v>
      </c>
      <c r="D7" s="8">
        <f>B7*C7</f>
        <v>0</v>
      </c>
      <c r="E7" s="35">
        <f>E6-E8</f>
        <v>112475</v>
      </c>
      <c r="F7" s="37">
        <f>E7*0.99081</f>
        <v>111441.35475</v>
      </c>
      <c r="G7" s="37"/>
      <c r="H7" s="37">
        <f>E7*0.00487</f>
        <v>547.75324999999998</v>
      </c>
      <c r="I7" s="37">
        <f>E7-F7-H7</f>
        <v>485.89200000000142</v>
      </c>
      <c r="J7" s="18">
        <v>0.33400000000000002</v>
      </c>
      <c r="K7" s="19">
        <v>0.33129999999999998</v>
      </c>
      <c r="L7" s="37"/>
      <c r="M7" s="19">
        <v>1.6000000000000001E-3</v>
      </c>
      <c r="N7" s="19">
        <f>J7-K7-M7</f>
        <v>1.1000000000000356E-3</v>
      </c>
      <c r="O7" s="11">
        <f t="shared" ref="O7:O41" si="4">P7/E7</f>
        <v>2.3787399866637031</v>
      </c>
      <c r="P7" s="38">
        <v>267548.78000000003</v>
      </c>
      <c r="Q7" s="12"/>
    </row>
    <row r="8" spans="1:22" ht="13.5" thickBot="1">
      <c r="A8" s="49"/>
      <c r="B8" s="7"/>
      <c r="C8" s="44">
        <v>2.2027674060849902</v>
      </c>
      <c r="D8" s="27"/>
      <c r="E8" s="36">
        <v>161000</v>
      </c>
      <c r="F8" s="37">
        <f>E8*0.99081</f>
        <v>159520.41</v>
      </c>
      <c r="G8" s="37"/>
      <c r="H8" s="37">
        <f>E8*0.00487</f>
        <v>784.07</v>
      </c>
      <c r="I8" s="37">
        <f>E8-F8-H8</f>
        <v>695.51999999999646</v>
      </c>
      <c r="J8" s="18">
        <v>0.23400000000000001</v>
      </c>
      <c r="K8" s="19">
        <v>0.23150000000000001</v>
      </c>
      <c r="L8" s="37"/>
      <c r="M8" s="19">
        <v>1.1000000000000001E-3</v>
      </c>
      <c r="N8" s="19">
        <f>J8-K8-M8</f>
        <v>1.4000000000000022E-3</v>
      </c>
      <c r="O8" s="11">
        <f t="shared" si="4"/>
        <v>2.5017699999999996</v>
      </c>
      <c r="P8" s="39">
        <v>402784.97</v>
      </c>
      <c r="Q8" s="27"/>
    </row>
    <row r="9" spans="1:22" ht="13.5" thickBot="1">
      <c r="A9" s="33"/>
      <c r="B9" s="7"/>
      <c r="C9" s="44">
        <v>2.2027674060849902</v>
      </c>
      <c r="D9" s="27"/>
      <c r="E9" s="34">
        <v>249350</v>
      </c>
      <c r="F9" s="34">
        <f>SUM(F10:F11)</f>
        <v>246731.82500000001</v>
      </c>
      <c r="G9" s="34">
        <f t="shared" ref="G9:I9" si="5">SUM(G10:G11)</f>
        <v>0</v>
      </c>
      <c r="H9" s="34">
        <f t="shared" si="5"/>
        <v>1461.1909999999998</v>
      </c>
      <c r="I9" s="34">
        <f t="shared" si="5"/>
        <v>1156.9840000000031</v>
      </c>
      <c r="J9" s="30">
        <f>SUM(J10:J11)</f>
        <v>0.60199999999999998</v>
      </c>
      <c r="K9" s="30">
        <f t="shared" ref="K9:N9" si="6">SUM(K10:K11)</f>
        <v>0.59620000000000006</v>
      </c>
      <c r="L9" s="34">
        <f t="shared" si="6"/>
        <v>0</v>
      </c>
      <c r="M9" s="30">
        <f t="shared" si="6"/>
        <v>3.5999999999999999E-3</v>
      </c>
      <c r="N9" s="30">
        <f t="shared" si="6"/>
        <v>2.7999999999999961E-3</v>
      </c>
      <c r="O9" s="28"/>
      <c r="P9" s="31">
        <f>SUM(P10:P11)</f>
        <v>651134.6</v>
      </c>
      <c r="Q9" s="12">
        <f>D9-P9</f>
        <v>-651134.6</v>
      </c>
      <c r="V9" s="40"/>
    </row>
    <row r="10" spans="1:22" ht="13.5" thickBot="1">
      <c r="A10" s="48" t="s">
        <v>1</v>
      </c>
      <c r="B10" s="6">
        <f>B6</f>
        <v>208160.59625724051</v>
      </c>
      <c r="C10" s="44">
        <v>2.2027674060849902</v>
      </c>
      <c r="D10" s="8">
        <f t="shared" ref="D10:D41" si="7">B10*C10</f>
        <v>458529.37666666659</v>
      </c>
      <c r="E10" s="35">
        <f>E9-E11</f>
        <v>88350</v>
      </c>
      <c r="F10" s="37">
        <f>E10*0.9895</f>
        <v>87422.324999999997</v>
      </c>
      <c r="G10" s="17"/>
      <c r="H10" s="37">
        <f>E10*0.00586</f>
        <v>517.73099999999999</v>
      </c>
      <c r="I10" s="37">
        <f>E10-F10-H10</f>
        <v>409.94400000000292</v>
      </c>
      <c r="J10" s="22">
        <v>0.21299999999999999</v>
      </c>
      <c r="K10" s="23">
        <v>0.2112</v>
      </c>
      <c r="L10" s="37"/>
      <c r="M10" s="19">
        <v>1.2999999999999999E-3</v>
      </c>
      <c r="N10" s="19">
        <f>J10-K10-M10</f>
        <v>4.9999999999999611E-4</v>
      </c>
      <c r="O10" s="11">
        <f t="shared" si="4"/>
        <v>2.5318899830220714</v>
      </c>
      <c r="P10" s="38">
        <v>223692.48</v>
      </c>
      <c r="Q10" s="12"/>
    </row>
    <row r="11" spans="1:22" ht="13.5" thickBot="1">
      <c r="A11" s="49"/>
      <c r="B11" s="7"/>
      <c r="C11" s="44">
        <v>2.2027674060849902</v>
      </c>
      <c r="D11" s="27"/>
      <c r="E11" s="36">
        <f>E8</f>
        <v>161000</v>
      </c>
      <c r="F11" s="37">
        <f>E11*0.9895</f>
        <v>159309.5</v>
      </c>
      <c r="G11" s="17"/>
      <c r="H11" s="37">
        <f>E11*0.00586</f>
        <v>943.45999999999992</v>
      </c>
      <c r="I11" s="37">
        <f t="shared" ref="I11:I41" si="8">E11-F11-H11</f>
        <v>747.04000000000008</v>
      </c>
      <c r="J11" s="22">
        <v>0.38900000000000001</v>
      </c>
      <c r="K11" s="23">
        <v>0.38500000000000001</v>
      </c>
      <c r="L11" s="37"/>
      <c r="M11" s="19">
        <v>2.3E-3</v>
      </c>
      <c r="N11" s="19">
        <v>2.3E-3</v>
      </c>
      <c r="O11" s="11">
        <f t="shared" si="4"/>
        <v>2.6549200000000002</v>
      </c>
      <c r="P11" s="39">
        <v>427442.12</v>
      </c>
      <c r="Q11" s="27"/>
    </row>
    <row r="12" spans="1:22" ht="13.5" thickBot="1">
      <c r="A12" s="51" t="s">
        <v>2</v>
      </c>
      <c r="B12" s="6">
        <f>B6</f>
        <v>208160.59625724051</v>
      </c>
      <c r="C12" s="44">
        <v>2.2027674060849902</v>
      </c>
      <c r="D12" s="8">
        <f t="shared" si="7"/>
        <v>458529.37666666659</v>
      </c>
      <c r="E12" s="34">
        <v>260192</v>
      </c>
      <c r="F12" s="34">
        <f>SUM(F13:F14)</f>
        <v>257751.39903999999</v>
      </c>
      <c r="G12" s="34">
        <f t="shared" ref="G12" si="9">SUM(G13:G14)</f>
        <v>0</v>
      </c>
      <c r="H12" s="34">
        <f t="shared" ref="H12" si="10">SUM(H13:H14)</f>
        <v>1477.8905600000001</v>
      </c>
      <c r="I12" s="34">
        <f t="shared" ref="I12" si="11">SUM(I13:I14)</f>
        <v>962.71040000002517</v>
      </c>
      <c r="J12" s="30">
        <f>SUM(J13:J14)</f>
        <v>0.61399999999999999</v>
      </c>
      <c r="K12" s="32">
        <f t="shared" ref="K12" si="12">SUM(K13:K14)</f>
        <v>0.60810000000000008</v>
      </c>
      <c r="L12" s="43">
        <f t="shared" ref="L12" si="13">SUM(L13:L14)</f>
        <v>0</v>
      </c>
      <c r="M12" s="32">
        <f t="shared" ref="M12" si="14">SUM(M13:M14)</f>
        <v>3.5000000000000001E-3</v>
      </c>
      <c r="N12" s="32">
        <f>SUM(N13:N14)</f>
        <v>3.2000000000000075E-3</v>
      </c>
      <c r="O12" s="32"/>
      <c r="P12" s="31">
        <f>SUM(P13:P14)</f>
        <v>650791.64</v>
      </c>
      <c r="Q12" s="12">
        <f>D12-P12</f>
        <v>-192262.26333333342</v>
      </c>
    </row>
    <row r="13" spans="1:22" ht="13.5" thickBot="1">
      <c r="A13" s="52"/>
      <c r="B13" s="7"/>
      <c r="C13" s="44">
        <v>2.2027674060849902</v>
      </c>
      <c r="D13" s="27"/>
      <c r="E13" s="35">
        <f>E12-E14</f>
        <v>99192</v>
      </c>
      <c r="F13" s="37">
        <f>E13*0.99062</f>
        <v>98261.579039999997</v>
      </c>
      <c r="G13" s="17"/>
      <c r="H13" s="37">
        <f>E13*0.00568</f>
        <v>563.41056000000003</v>
      </c>
      <c r="I13" s="37">
        <f>E13-F13-H13</f>
        <v>367.01040000000307</v>
      </c>
      <c r="J13" s="18">
        <v>0.23400000000000001</v>
      </c>
      <c r="K13" s="19">
        <v>0.23180000000000001</v>
      </c>
      <c r="L13" s="37"/>
      <c r="M13" s="19">
        <v>1.2999999999999999E-3</v>
      </c>
      <c r="N13" s="19">
        <f>J13-K13-M13</f>
        <v>9.0000000000000756E-4</v>
      </c>
      <c r="O13" s="11">
        <f t="shared" si="4"/>
        <v>2.4250699653197838</v>
      </c>
      <c r="P13" s="39">
        <v>240547.54</v>
      </c>
      <c r="Q13" s="27"/>
    </row>
    <row r="14" spans="1:22" ht="13.5" thickBot="1">
      <c r="A14" s="53"/>
      <c r="B14" s="7"/>
      <c r="C14" s="44">
        <v>2.2027674060849902</v>
      </c>
      <c r="D14" s="27"/>
      <c r="E14" s="36">
        <f>E8</f>
        <v>161000</v>
      </c>
      <c r="F14" s="37">
        <f>E14*0.99062</f>
        <v>159489.81999999998</v>
      </c>
      <c r="G14" s="17"/>
      <c r="H14" s="37">
        <f>E14*0.00568</f>
        <v>914.48</v>
      </c>
      <c r="I14" s="37">
        <f>E14-F14-H14</f>
        <v>595.7000000000221</v>
      </c>
      <c r="J14" s="18">
        <v>0.38</v>
      </c>
      <c r="K14" s="19">
        <v>0.37630000000000002</v>
      </c>
      <c r="L14" s="37"/>
      <c r="M14" s="19">
        <v>2.2000000000000001E-3</v>
      </c>
      <c r="N14" s="19">
        <v>2.3E-3</v>
      </c>
      <c r="O14" s="11">
        <f t="shared" si="4"/>
        <v>2.5480999999999998</v>
      </c>
      <c r="P14" s="39">
        <v>410244.1</v>
      </c>
      <c r="Q14" s="27"/>
    </row>
    <row r="15" spans="1:22" ht="13.5" thickBot="1">
      <c r="A15" s="51" t="s">
        <v>3</v>
      </c>
      <c r="B15" s="6">
        <f>B12</f>
        <v>208160.59625724051</v>
      </c>
      <c r="C15" s="44">
        <v>2.2027674060849902</v>
      </c>
      <c r="D15" s="8">
        <f t="shared" si="7"/>
        <v>458529.37666666659</v>
      </c>
      <c r="E15" s="34">
        <v>250127</v>
      </c>
      <c r="F15" s="34">
        <f>SUM(F16:F17)</f>
        <v>247653.24397000001</v>
      </c>
      <c r="G15" s="34">
        <f t="shared" ref="G15" si="15">SUM(G16:G17)</f>
        <v>0</v>
      </c>
      <c r="H15" s="34">
        <f t="shared" ref="H15" si="16">SUM(H16:H17)</f>
        <v>1338.1794499999999</v>
      </c>
      <c r="I15" s="34">
        <f t="shared" ref="I15" si="17">SUM(I16:I17)</f>
        <v>1135.5765799999751</v>
      </c>
      <c r="J15" s="30">
        <f>SUM(J16:J17)</f>
        <v>0.64500000000000002</v>
      </c>
      <c r="K15" s="32">
        <f t="shared" ref="K15" si="18">SUM(K16:K17)</f>
        <v>0.63880000000000003</v>
      </c>
      <c r="L15" s="43">
        <f t="shared" ref="L15" si="19">SUM(L16:L17)</f>
        <v>0</v>
      </c>
      <c r="M15" s="32">
        <f t="shared" ref="M15" si="20">SUM(M16:M17)</f>
        <v>3.4000000000000002E-3</v>
      </c>
      <c r="N15" s="32">
        <f>SUM(N16:N17)</f>
        <v>3.8999999999999699E-3</v>
      </c>
      <c r="O15" s="32"/>
      <c r="P15" s="31">
        <f>SUM(P16:P17)</f>
        <v>638854.65</v>
      </c>
      <c r="Q15" s="12">
        <f>D15-P15</f>
        <v>-180325.27333333343</v>
      </c>
    </row>
    <row r="16" spans="1:22" ht="13.5" thickBot="1">
      <c r="A16" s="52"/>
      <c r="B16" s="7"/>
      <c r="C16" s="44">
        <v>2.2027674060849902</v>
      </c>
      <c r="D16" s="27"/>
      <c r="E16" s="36">
        <f>E15-E17</f>
        <v>89127</v>
      </c>
      <c r="F16" s="37">
        <f>E16*0.99011</f>
        <v>88245.533970000004</v>
      </c>
      <c r="G16" s="17"/>
      <c r="H16" s="45">
        <f>E16*0.00535</f>
        <v>476.82944999999995</v>
      </c>
      <c r="I16" s="45">
        <f>E16-F16-H16</f>
        <v>404.636579999996</v>
      </c>
      <c r="J16" s="18">
        <v>0.41499999999999998</v>
      </c>
      <c r="K16" s="19">
        <v>0.41120000000000001</v>
      </c>
      <c r="L16" s="37"/>
      <c r="M16" s="19">
        <v>2.2000000000000001E-3</v>
      </c>
      <c r="N16" s="19">
        <f>J16-K16-M16</f>
        <v>1.5999999999999699E-3</v>
      </c>
      <c r="O16" s="11">
        <f t="shared" si="4"/>
        <v>2.4749300436455846</v>
      </c>
      <c r="P16" s="39">
        <v>220583.09</v>
      </c>
      <c r="Q16" s="27"/>
    </row>
    <row r="17" spans="1:19" ht="13.5" thickBot="1">
      <c r="A17" s="53"/>
      <c r="B17" s="7"/>
      <c r="C17" s="44">
        <v>2.2027674060849902</v>
      </c>
      <c r="D17" s="27"/>
      <c r="E17" s="36">
        <f>E8</f>
        <v>161000</v>
      </c>
      <c r="F17" s="37">
        <f>E17*0.99011</f>
        <v>159407.71000000002</v>
      </c>
      <c r="G17" s="17"/>
      <c r="H17" s="37">
        <f>E17*0.00535</f>
        <v>861.34999999999991</v>
      </c>
      <c r="I17" s="37">
        <f t="shared" si="8"/>
        <v>730.93999999997914</v>
      </c>
      <c r="J17" s="18">
        <v>0.23</v>
      </c>
      <c r="K17" s="19">
        <v>0.2276</v>
      </c>
      <c r="L17" s="37"/>
      <c r="M17" s="19">
        <v>1.1999999999999999E-3</v>
      </c>
      <c r="N17" s="19">
        <v>2.3E-3</v>
      </c>
      <c r="O17" s="11">
        <f t="shared" si="4"/>
        <v>2.59796</v>
      </c>
      <c r="P17" s="39">
        <v>418271.56</v>
      </c>
      <c r="Q17" s="27"/>
    </row>
    <row r="18" spans="1:19" ht="13.5" thickBot="1">
      <c r="A18" s="51" t="s">
        <v>4</v>
      </c>
      <c r="B18" s="6">
        <f>B15</f>
        <v>208160.59625724051</v>
      </c>
      <c r="C18" s="44">
        <v>2.2027674060849902</v>
      </c>
      <c r="D18" s="8">
        <f t="shared" si="7"/>
        <v>458529.37666666659</v>
      </c>
      <c r="E18" s="34">
        <v>247375</v>
      </c>
      <c r="F18" s="34">
        <f>SUM(F19:F20)</f>
        <v>245316.84000000003</v>
      </c>
      <c r="G18" s="34">
        <f t="shared" ref="G18" si="21">SUM(G19:G20)</f>
        <v>0</v>
      </c>
      <c r="H18" s="34">
        <f t="shared" ref="H18" si="22">SUM(H19:H20)</f>
        <v>1137.925</v>
      </c>
      <c r="I18" s="34">
        <f t="shared" ref="I18" si="23">SUM(I19:I20)</f>
        <v>920.23499999998899</v>
      </c>
      <c r="J18" s="30">
        <f>SUM(J19:J20)</f>
        <v>0.67100000000000004</v>
      </c>
      <c r="K18" s="32">
        <f t="shared" ref="K18" si="24">SUM(K19:K20)</f>
        <v>0.66520000000000001</v>
      </c>
      <c r="L18" s="43">
        <f t="shared" ref="L18" si="25">SUM(L19:L20)</f>
        <v>0</v>
      </c>
      <c r="M18" s="32">
        <f t="shared" ref="M18" si="26">SUM(M19:M20)</f>
        <v>3.1000000000000003E-3</v>
      </c>
      <c r="N18" s="32">
        <f>SUM(N19:N20)</f>
        <v>4.3999999999999925E-3</v>
      </c>
      <c r="O18" s="32"/>
      <c r="P18" s="31">
        <f>SUM(P19:P20)</f>
        <v>596263.32000000007</v>
      </c>
      <c r="Q18" s="12">
        <f>D18-P18</f>
        <v>-137733.94333333347</v>
      </c>
    </row>
    <row r="19" spans="1:19" ht="13.5" thickBot="1">
      <c r="A19" s="52"/>
      <c r="B19" s="7"/>
      <c r="C19" s="44">
        <v>2.2027674060849902</v>
      </c>
      <c r="D19" s="27"/>
      <c r="E19" s="36">
        <v>86375</v>
      </c>
      <c r="F19" s="37">
        <f>E19*0.99168</f>
        <v>85656.36</v>
      </c>
      <c r="G19" s="17"/>
      <c r="H19" s="45">
        <f>E19*0.0046</f>
        <v>397.32499999999999</v>
      </c>
      <c r="I19" s="37">
        <f>E19-F19-H19</f>
        <v>321.31499999999943</v>
      </c>
      <c r="J19" s="18">
        <v>0.437</v>
      </c>
      <c r="K19" s="19">
        <v>0.43290000000000001</v>
      </c>
      <c r="L19" s="37"/>
      <c r="M19" s="19">
        <v>2E-3</v>
      </c>
      <c r="N19" s="19">
        <f>J19-K19-M19</f>
        <v>2.0999999999999925E-3</v>
      </c>
      <c r="O19" s="11">
        <f t="shared" si="4"/>
        <v>2.33029001447178</v>
      </c>
      <c r="P19" s="39">
        <v>201278.8</v>
      </c>
      <c r="Q19" s="27"/>
    </row>
    <row r="20" spans="1:19" ht="13.5" thickBot="1">
      <c r="A20" s="53"/>
      <c r="B20" s="7"/>
      <c r="C20" s="44">
        <v>2.2027674060849902</v>
      </c>
      <c r="D20" s="27"/>
      <c r="E20" s="36">
        <f>E8</f>
        <v>161000</v>
      </c>
      <c r="F20" s="37">
        <f>E20*0.99168</f>
        <v>159660.48000000001</v>
      </c>
      <c r="G20" s="17"/>
      <c r="H20" s="37">
        <f>E20*0.0046</f>
        <v>740.6</v>
      </c>
      <c r="I20" s="37">
        <f t="shared" si="8"/>
        <v>598.9199999999895</v>
      </c>
      <c r="J20" s="18">
        <v>0.23400000000000001</v>
      </c>
      <c r="K20" s="19">
        <v>0.23230000000000001</v>
      </c>
      <c r="L20" s="37"/>
      <c r="M20" s="19">
        <v>1.1000000000000001E-3</v>
      </c>
      <c r="N20" s="19">
        <v>2.3E-3</v>
      </c>
      <c r="O20" s="11">
        <f t="shared" si="4"/>
        <v>2.4533200000000002</v>
      </c>
      <c r="P20" s="39">
        <v>394984.52</v>
      </c>
      <c r="Q20" s="27"/>
    </row>
    <row r="21" spans="1:19" ht="13.5" thickBot="1">
      <c r="A21" s="51" t="s">
        <v>5</v>
      </c>
      <c r="B21" s="7">
        <f>B18</f>
        <v>208160.59625724051</v>
      </c>
      <c r="C21" s="44">
        <v>2.2027674060849902</v>
      </c>
      <c r="D21" s="8">
        <f t="shared" si="7"/>
        <v>458529.37666666659</v>
      </c>
      <c r="E21" s="34">
        <f>SUM(E22:E23)</f>
        <v>243018</v>
      </c>
      <c r="F21" s="34">
        <f>SUM(F22:F23)</f>
        <v>241268.27039999998</v>
      </c>
      <c r="G21" s="34">
        <f t="shared" ref="G21" si="27">SUM(G22:G23)</f>
        <v>0</v>
      </c>
      <c r="H21" s="34">
        <f t="shared" ref="H21" si="28">SUM(H22:H23)</f>
        <v>933.18912</v>
      </c>
      <c r="I21" s="34">
        <f t="shared" ref="I21" si="29">SUM(I22:I23)</f>
        <v>816.54048000000603</v>
      </c>
      <c r="J21" s="30">
        <f>SUM(J22:J23)</f>
        <v>0.69000000000000006</v>
      </c>
      <c r="K21" s="32">
        <f t="shared" ref="K21" si="30">SUM(K22:K23)</f>
        <v>0.68530000000000002</v>
      </c>
      <c r="L21" s="43">
        <f t="shared" ref="L21" si="31">SUM(L22:L23)</f>
        <v>0</v>
      </c>
      <c r="M21" s="32">
        <f t="shared" ref="M21" si="32">SUM(M22:M23)</f>
        <v>2.7000000000000001E-3</v>
      </c>
      <c r="N21" s="32">
        <f>SUM(N22:N23)</f>
        <v>3.5000000000000027E-3</v>
      </c>
      <c r="O21" s="32"/>
      <c r="P21" s="31">
        <f>SUM(P22:P23)</f>
        <v>645324.01</v>
      </c>
      <c r="Q21" s="12">
        <f>D21-P21</f>
        <v>-186794.63333333342</v>
      </c>
    </row>
    <row r="22" spans="1:19" ht="13.5" thickBot="1">
      <c r="A22" s="52"/>
      <c r="B22" s="7"/>
      <c r="C22" s="44">
        <v>2.2027674060849902</v>
      </c>
      <c r="D22" s="27"/>
      <c r="E22" s="36">
        <v>82018</v>
      </c>
      <c r="F22" s="37">
        <f>E22*0.9928</f>
        <v>81427.470400000006</v>
      </c>
      <c r="G22" s="17"/>
      <c r="H22" s="45">
        <f>E22*0.00384</f>
        <v>314.94911999999999</v>
      </c>
      <c r="I22" s="37">
        <f>E22-F22-H22</f>
        <v>275.5804799999944</v>
      </c>
      <c r="J22" s="18">
        <v>0.45700000000000002</v>
      </c>
      <c r="K22" s="19">
        <v>0.45400000000000001</v>
      </c>
      <c r="L22" s="37"/>
      <c r="M22" s="19">
        <v>1.8E-3</v>
      </c>
      <c r="N22" s="19">
        <f>J22-K22-M22</f>
        <v>1.2000000000000027E-3</v>
      </c>
      <c r="O22" s="11">
        <f t="shared" si="4"/>
        <v>2.57394998658831</v>
      </c>
      <c r="P22" s="39">
        <v>211110.23</v>
      </c>
      <c r="Q22" s="27"/>
    </row>
    <row r="23" spans="1:19" ht="13.5" thickBot="1">
      <c r="A23" s="53"/>
      <c r="B23" s="6"/>
      <c r="C23" s="44">
        <v>2.2027674060849902</v>
      </c>
      <c r="D23" s="8">
        <f t="shared" si="7"/>
        <v>0</v>
      </c>
      <c r="E23" s="35">
        <f>E8</f>
        <v>161000</v>
      </c>
      <c r="F23" s="37">
        <f>E23*0.9928</f>
        <v>159840.79999999999</v>
      </c>
      <c r="G23" s="17"/>
      <c r="H23" s="37">
        <f>E23*0.00384</f>
        <v>618.24</v>
      </c>
      <c r="I23" s="37">
        <f t="shared" si="8"/>
        <v>540.96000000001163</v>
      </c>
      <c r="J23" s="18">
        <v>0.23300000000000001</v>
      </c>
      <c r="K23" s="19">
        <v>0.23130000000000001</v>
      </c>
      <c r="L23" s="37"/>
      <c r="M23" s="19">
        <v>8.9999999999999998E-4</v>
      </c>
      <c r="N23" s="19">
        <v>2.3E-3</v>
      </c>
      <c r="O23" s="11">
        <f t="shared" si="4"/>
        <v>2.6969800000000004</v>
      </c>
      <c r="P23" s="38">
        <v>434213.78</v>
      </c>
      <c r="Q23" s="12"/>
    </row>
    <row r="24" spans="1:19" ht="13.5" thickBot="1">
      <c r="A24" s="51" t="s">
        <v>23</v>
      </c>
      <c r="B24" s="6">
        <f>B21</f>
        <v>208160.59625724051</v>
      </c>
      <c r="C24" s="44">
        <v>2.2027674060849902</v>
      </c>
      <c r="D24" s="8">
        <f t="shared" si="7"/>
        <v>458529.37666666659</v>
      </c>
      <c r="E24" s="34">
        <v>245995</v>
      </c>
      <c r="F24" s="34">
        <f>SUM(F25:F26)</f>
        <v>244086.07880000002</v>
      </c>
      <c r="G24" s="34">
        <f t="shared" ref="G24" si="33">SUM(G25:G26)</f>
        <v>0</v>
      </c>
      <c r="H24" s="34">
        <f t="shared" ref="H24" si="34">SUM(H25:H26)</f>
        <v>1033.1789999999999</v>
      </c>
      <c r="I24" s="34">
        <f t="shared" ref="I24" si="35">SUM(I25:I26)</f>
        <v>875.74219999998263</v>
      </c>
      <c r="J24" s="30">
        <f>SUM(J25:J26)</f>
        <v>0.70500000000000007</v>
      </c>
      <c r="K24" s="32">
        <f t="shared" ref="K24" si="36">SUM(K25:K26)</f>
        <v>0.6996</v>
      </c>
      <c r="L24" s="43">
        <f t="shared" ref="L24" si="37">SUM(L25:L26)</f>
        <v>0</v>
      </c>
      <c r="M24" s="32">
        <f t="shared" ref="M24" si="38">SUM(M25:M26)</f>
        <v>2.8999999999999998E-3</v>
      </c>
      <c r="N24" s="32">
        <f>SUM(N25:N26)</f>
        <v>3.5000000000000473E-3</v>
      </c>
      <c r="O24" s="32"/>
      <c r="P24" s="31">
        <f>SUM(P25:P26)</f>
        <v>663622.51</v>
      </c>
      <c r="Q24" s="12">
        <f>D24-P24</f>
        <v>-205093.13333333342</v>
      </c>
    </row>
    <row r="25" spans="1:19" ht="13.5" thickBot="1">
      <c r="A25" s="52"/>
      <c r="B25" s="7"/>
      <c r="C25" s="44">
        <v>2.2027674060849902</v>
      </c>
      <c r="D25" s="27"/>
      <c r="E25" s="36">
        <f>E24-E26</f>
        <v>84995</v>
      </c>
      <c r="F25" s="37">
        <f>E25*0.99224</f>
        <v>84335.438800000004</v>
      </c>
      <c r="G25" s="17"/>
      <c r="H25" s="45">
        <f>E25*0.0042</f>
        <v>356.97899999999998</v>
      </c>
      <c r="I25" s="37">
        <f>E25-F25-H25</f>
        <v>302.58219999999648</v>
      </c>
      <c r="J25" s="18">
        <v>0.46100000000000002</v>
      </c>
      <c r="K25" s="19">
        <v>0.45789999999999997</v>
      </c>
      <c r="L25" s="37"/>
      <c r="M25" s="19">
        <v>1.9E-3</v>
      </c>
      <c r="N25" s="19">
        <f>J25-K25-M25</f>
        <v>1.2000000000000472E-3</v>
      </c>
      <c r="O25" s="11">
        <f t="shared" si="4"/>
        <v>2.5585900347079238</v>
      </c>
      <c r="P25" s="39">
        <v>217467.36</v>
      </c>
      <c r="Q25" s="27"/>
    </row>
    <row r="26" spans="1:19" ht="13.5" thickBot="1">
      <c r="A26" s="53"/>
      <c r="B26" s="7"/>
      <c r="C26" s="44">
        <v>2.2027674060849902</v>
      </c>
      <c r="D26" s="27"/>
      <c r="E26" s="36">
        <f>E8</f>
        <v>161000</v>
      </c>
      <c r="F26" s="37">
        <f>E26*0.99224</f>
        <v>159750.64000000001</v>
      </c>
      <c r="G26" s="17"/>
      <c r="H26" s="37">
        <f>E26*0.0042</f>
        <v>676.19999999999993</v>
      </c>
      <c r="I26" s="37">
        <f t="shared" si="8"/>
        <v>573.1599999999861</v>
      </c>
      <c r="J26" s="18">
        <v>0.24399999999999999</v>
      </c>
      <c r="K26" s="19">
        <v>0.2417</v>
      </c>
      <c r="L26" s="37"/>
      <c r="M26" s="19">
        <v>1E-3</v>
      </c>
      <c r="N26" s="19">
        <v>2.3E-3</v>
      </c>
      <c r="O26" s="11">
        <f t="shared" si="4"/>
        <v>2.77115</v>
      </c>
      <c r="P26" s="39">
        <v>446155.15</v>
      </c>
      <c r="Q26" s="27"/>
    </row>
    <row r="27" spans="1:19" ht="13.5" thickBot="1">
      <c r="A27" s="51" t="s">
        <v>6</v>
      </c>
      <c r="B27" s="6">
        <f>B24</f>
        <v>208160.59625724051</v>
      </c>
      <c r="C27" s="44">
        <v>2.2027674060849902</v>
      </c>
      <c r="D27" s="8">
        <f t="shared" si="7"/>
        <v>458529.37666666659</v>
      </c>
      <c r="E27" s="34">
        <v>250475</v>
      </c>
      <c r="F27" s="34">
        <f>SUM(F28:F29)</f>
        <v>248325.92449999999</v>
      </c>
      <c r="G27" s="34">
        <f t="shared" ref="G27" si="39">SUM(G28:G29)</f>
        <v>0</v>
      </c>
      <c r="H27" s="34">
        <f t="shared" ref="H27" si="40">SUM(H28:H29)</f>
        <v>1309.98425</v>
      </c>
      <c r="I27" s="34">
        <f t="shared" ref="I27" si="41">SUM(I28:I29)</f>
        <v>839.0912500000062</v>
      </c>
      <c r="J27" s="30">
        <f>SUM(J28:J29)</f>
        <v>0.70199999999999996</v>
      </c>
      <c r="K27" s="32">
        <f t="shared" ref="K27" si="42">SUM(K28:K29)</f>
        <v>0.69599999999999995</v>
      </c>
      <c r="L27" s="43">
        <f t="shared" ref="L27" si="43">SUM(L28:L29)</f>
        <v>0</v>
      </c>
      <c r="M27" s="32">
        <f t="shared" ref="M27" si="44">SUM(M28:M29)</f>
        <v>3.6999999999999997E-3</v>
      </c>
      <c r="N27" s="32">
        <f>SUM(N28:N29)</f>
        <v>3.4999999999999923E-3</v>
      </c>
      <c r="O27" s="32"/>
      <c r="P27" s="31">
        <f>SUM(P28:P29)</f>
        <v>683996.89</v>
      </c>
      <c r="Q27" s="12">
        <f>D27-P27</f>
        <v>-225467.51333333342</v>
      </c>
    </row>
    <row r="28" spans="1:19" ht="13.5" thickBot="1">
      <c r="A28" s="52"/>
      <c r="B28" s="7"/>
      <c r="C28" s="44">
        <v>2.2027674060849902</v>
      </c>
      <c r="D28" s="27"/>
      <c r="E28" s="36">
        <f>E27-E29</f>
        <v>89475</v>
      </c>
      <c r="F28" s="37">
        <f>E28*0.99142</f>
        <v>88707.304499999998</v>
      </c>
      <c r="G28" s="17"/>
      <c r="H28" s="45">
        <f>E28*0.00523</f>
        <v>467.95425</v>
      </c>
      <c r="I28" s="37">
        <f>E28-F28-H28</f>
        <v>299.74125000000163</v>
      </c>
      <c r="J28" s="18">
        <v>0.45100000000000001</v>
      </c>
      <c r="K28" s="19">
        <v>0.44740000000000002</v>
      </c>
      <c r="L28" s="37"/>
      <c r="M28" s="19">
        <v>2.3999999999999998E-3</v>
      </c>
      <c r="N28" s="19">
        <f>J28-K28-M28</f>
        <v>1.1999999999999923E-3</v>
      </c>
      <c r="O28" s="11">
        <f t="shared" si="4"/>
        <v>2.5941699916177701</v>
      </c>
      <c r="P28" s="39">
        <v>232113.36</v>
      </c>
      <c r="Q28" s="27"/>
    </row>
    <row r="29" spans="1:19" ht="13.5" thickBot="1">
      <c r="A29" s="53"/>
      <c r="B29" s="7"/>
      <c r="C29" s="44">
        <v>2.2027674060849902</v>
      </c>
      <c r="D29" s="27"/>
      <c r="E29" s="36">
        <f>E8</f>
        <v>161000</v>
      </c>
      <c r="F29" s="37">
        <f>E29*0.99142</f>
        <v>159618.62</v>
      </c>
      <c r="G29" s="17"/>
      <c r="H29" s="37">
        <f>E29*0.00523</f>
        <v>842.03000000000009</v>
      </c>
      <c r="I29" s="37">
        <f t="shared" si="8"/>
        <v>539.35000000000457</v>
      </c>
      <c r="J29" s="18">
        <v>0.251</v>
      </c>
      <c r="K29" s="19">
        <v>0.24859999999999999</v>
      </c>
      <c r="L29" s="37"/>
      <c r="M29" s="19">
        <v>1.2999999999999999E-3</v>
      </c>
      <c r="N29" s="19">
        <v>2.3E-3</v>
      </c>
      <c r="O29" s="11">
        <f t="shared" si="4"/>
        <v>2.8067300000000004</v>
      </c>
      <c r="P29" s="39">
        <v>451883.53</v>
      </c>
      <c r="Q29" s="27"/>
    </row>
    <row r="30" spans="1:19" ht="13.5" thickBot="1">
      <c r="A30" s="51" t="s">
        <v>7</v>
      </c>
      <c r="B30" s="6">
        <f>B27</f>
        <v>208160.59625724051</v>
      </c>
      <c r="C30" s="44">
        <v>2.2027674060849902</v>
      </c>
      <c r="D30" s="8">
        <f t="shared" si="7"/>
        <v>458529.37666666659</v>
      </c>
      <c r="E30" s="34">
        <v>246995</v>
      </c>
      <c r="F30" s="34">
        <f>SUM(F31:F32)</f>
        <v>244742.4056</v>
      </c>
      <c r="G30" s="34">
        <f t="shared" ref="G30" si="45">SUM(G31:G32)</f>
        <v>0</v>
      </c>
      <c r="H30" s="34">
        <f t="shared" ref="H30" si="46">SUM(H31:H32)</f>
        <v>1383.172</v>
      </c>
      <c r="I30" s="34">
        <f t="shared" ref="I30" si="47">SUM(I31:I32)</f>
        <v>869.42240000000174</v>
      </c>
      <c r="J30" s="30">
        <f>SUM(J31:J32)</f>
        <v>0.64100000000000001</v>
      </c>
      <c r="K30" s="32">
        <f t="shared" ref="K30" si="48">SUM(K31:K32)</f>
        <v>0.63539999999999996</v>
      </c>
      <c r="L30" s="43">
        <f t="shared" ref="L30" si="49">SUM(L31:L32)</f>
        <v>0</v>
      </c>
      <c r="M30" s="32">
        <f t="shared" ref="M30" si="50">SUM(M31:M32)</f>
        <v>3.4999999999999996E-3</v>
      </c>
      <c r="N30" s="32">
        <f>SUM(N31:N32)</f>
        <v>3.8999999999999591E-3</v>
      </c>
      <c r="O30" s="32"/>
      <c r="P30" s="31">
        <f>SUM(P31:P32)</f>
        <v>0</v>
      </c>
      <c r="Q30" s="12">
        <f>D30-P30</f>
        <v>458529.37666666659</v>
      </c>
      <c r="S30" s="13"/>
    </row>
    <row r="31" spans="1:19" ht="13.5" thickBot="1">
      <c r="A31" s="52"/>
      <c r="B31" s="7"/>
      <c r="C31" s="44">
        <v>2.2027674060849902</v>
      </c>
      <c r="D31" s="27"/>
      <c r="E31" s="36">
        <f>E30-E32</f>
        <v>85995</v>
      </c>
      <c r="F31" s="37">
        <f>E31*0.99088</f>
        <v>85210.725600000005</v>
      </c>
      <c r="G31" s="17"/>
      <c r="H31" s="45">
        <f>E31*0.0056</f>
        <v>481.572</v>
      </c>
      <c r="I31" s="37">
        <f>E31-F31-H31</f>
        <v>302.70239999999478</v>
      </c>
      <c r="J31" s="18">
        <v>0.41799999999999998</v>
      </c>
      <c r="K31" s="19">
        <v>0.41410000000000002</v>
      </c>
      <c r="L31" s="37"/>
      <c r="M31" s="19">
        <v>2.3E-3</v>
      </c>
      <c r="N31" s="19">
        <f>J31-K31-M31</f>
        <v>1.5999999999999591E-3</v>
      </c>
      <c r="O31" s="11">
        <f t="shared" si="4"/>
        <v>0</v>
      </c>
      <c r="P31" s="39"/>
      <c r="Q31" s="27"/>
      <c r="S31" s="13"/>
    </row>
    <row r="32" spans="1:19" ht="13.5" thickBot="1">
      <c r="A32" s="53"/>
      <c r="B32" s="7"/>
      <c r="C32" s="44">
        <v>2.2027674060849902</v>
      </c>
      <c r="D32" s="27"/>
      <c r="E32" s="36">
        <f>E8</f>
        <v>161000</v>
      </c>
      <c r="F32" s="37">
        <f>E32*0.99088</f>
        <v>159531.68</v>
      </c>
      <c r="G32" s="17"/>
      <c r="H32" s="37">
        <f>E32*0.0056</f>
        <v>901.6</v>
      </c>
      <c r="I32" s="37">
        <f t="shared" si="8"/>
        <v>566.72000000000696</v>
      </c>
      <c r="J32" s="18">
        <v>0.223</v>
      </c>
      <c r="K32" s="19">
        <v>0.2213</v>
      </c>
      <c r="L32" s="37"/>
      <c r="M32" s="19">
        <v>1.1999999999999999E-3</v>
      </c>
      <c r="N32" s="19">
        <v>2.3E-3</v>
      </c>
      <c r="O32" s="11">
        <f t="shared" si="4"/>
        <v>0</v>
      </c>
      <c r="P32" s="39"/>
      <c r="Q32" s="27"/>
      <c r="S32" s="13"/>
    </row>
    <row r="33" spans="1:19" ht="13.5" thickBot="1">
      <c r="A33" s="51" t="s">
        <v>8</v>
      </c>
      <c r="B33" s="6">
        <f>B30</f>
        <v>208160.59625724051</v>
      </c>
      <c r="C33" s="44">
        <v>2.2027674060849902</v>
      </c>
      <c r="D33" s="8">
        <f t="shared" si="7"/>
        <v>458529.37666666659</v>
      </c>
      <c r="E33" s="34"/>
      <c r="F33" s="34">
        <f>SUM(F34:F35)</f>
        <v>0</v>
      </c>
      <c r="G33" s="34">
        <f t="shared" ref="G33" si="51">SUM(G34:G35)</f>
        <v>0</v>
      </c>
      <c r="H33" s="34">
        <f t="shared" ref="H33" si="52">SUM(H34:H35)</f>
        <v>0</v>
      </c>
      <c r="I33" s="34">
        <f t="shared" ref="I33" si="53">SUM(I34:I35)</f>
        <v>161000</v>
      </c>
      <c r="J33" s="30">
        <f>SUM(J34:J35)</f>
        <v>0</v>
      </c>
      <c r="K33" s="32">
        <f t="shared" ref="K33" si="54">SUM(K34:K35)</f>
        <v>0</v>
      </c>
      <c r="L33" s="43">
        <f t="shared" ref="L33" si="55">SUM(L34:L35)</f>
        <v>0</v>
      </c>
      <c r="M33" s="32">
        <f t="shared" ref="M33" si="56">SUM(M34:M35)</f>
        <v>0</v>
      </c>
      <c r="N33" s="32">
        <f>SUM(N34:N35)</f>
        <v>2.3E-3</v>
      </c>
      <c r="O33" s="32"/>
      <c r="P33" s="31">
        <f>SUM(P34:P35)</f>
        <v>0</v>
      </c>
      <c r="Q33" s="12">
        <f>D33-P33</f>
        <v>458529.37666666659</v>
      </c>
    </row>
    <row r="34" spans="1:19" ht="13.5" thickBot="1">
      <c r="A34" s="52"/>
      <c r="B34" s="7"/>
      <c r="C34" s="44">
        <v>2.2027674060849902</v>
      </c>
      <c r="D34" s="27"/>
      <c r="E34" s="29"/>
      <c r="F34" s="17"/>
      <c r="G34" s="17"/>
      <c r="H34" s="17"/>
      <c r="I34" s="37">
        <f>E34-F34-H34</f>
        <v>0</v>
      </c>
      <c r="J34" s="18"/>
      <c r="K34" s="19"/>
      <c r="L34" s="37"/>
      <c r="M34" s="19"/>
      <c r="N34" s="19">
        <f>J34-K34-M34</f>
        <v>0</v>
      </c>
      <c r="O34" s="11" t="e">
        <f t="shared" si="4"/>
        <v>#DIV/0!</v>
      </c>
      <c r="P34" s="39"/>
      <c r="Q34" s="27"/>
    </row>
    <row r="35" spans="1:19" ht="13.5" thickBot="1">
      <c r="A35" s="53"/>
      <c r="B35" s="7"/>
      <c r="C35" s="44">
        <v>2.2027674060849902</v>
      </c>
      <c r="D35" s="27"/>
      <c r="E35" s="36">
        <f>E8</f>
        <v>161000</v>
      </c>
      <c r="F35" s="17"/>
      <c r="G35" s="17"/>
      <c r="H35" s="17"/>
      <c r="I35" s="37">
        <f t="shared" si="8"/>
        <v>161000</v>
      </c>
      <c r="J35" s="18"/>
      <c r="K35" s="19"/>
      <c r="L35" s="37"/>
      <c r="M35" s="19"/>
      <c r="N35" s="19">
        <v>2.3E-3</v>
      </c>
      <c r="O35" s="11">
        <f t="shared" si="4"/>
        <v>0</v>
      </c>
      <c r="P35" s="39"/>
      <c r="Q35" s="27"/>
    </row>
    <row r="36" spans="1:19" ht="13.5" thickBot="1">
      <c r="A36" s="51" t="s">
        <v>9</v>
      </c>
      <c r="B36" s="6">
        <f>B33</f>
        <v>208160.59625724051</v>
      </c>
      <c r="C36" s="44">
        <v>2.2027674060849902</v>
      </c>
      <c r="D36" s="8">
        <f t="shared" si="7"/>
        <v>458529.37666666659</v>
      </c>
      <c r="E36" s="34"/>
      <c r="F36" s="34">
        <f>SUM(F37:F38)</f>
        <v>0</v>
      </c>
      <c r="G36" s="34">
        <f t="shared" ref="G36" si="57">SUM(G37:G38)</f>
        <v>0</v>
      </c>
      <c r="H36" s="34">
        <f t="shared" ref="H36" si="58">SUM(H37:H38)</f>
        <v>0</v>
      </c>
      <c r="I36" s="34">
        <f t="shared" ref="I36" si="59">SUM(I37:I38)</f>
        <v>161000</v>
      </c>
      <c r="J36" s="30">
        <f>SUM(J37:J38)</f>
        <v>0</v>
      </c>
      <c r="K36" s="32">
        <f t="shared" ref="K36" si="60">SUM(K37:K38)</f>
        <v>0</v>
      </c>
      <c r="L36" s="43">
        <f t="shared" ref="L36" si="61">SUM(L37:L38)</f>
        <v>0</v>
      </c>
      <c r="M36" s="32">
        <f t="shared" ref="M36" si="62">SUM(M37:M38)</f>
        <v>0</v>
      </c>
      <c r="N36" s="32">
        <f>SUM(N37:N38)</f>
        <v>2.3E-3</v>
      </c>
      <c r="O36" s="32"/>
      <c r="P36" s="31">
        <f>SUM(P37:P38)</f>
        <v>0</v>
      </c>
      <c r="Q36" s="12">
        <f>D36-P36</f>
        <v>458529.37666666659</v>
      </c>
      <c r="S36" s="14"/>
    </row>
    <row r="37" spans="1:19" ht="13.5" thickBot="1">
      <c r="A37" s="52"/>
      <c r="B37" s="7"/>
      <c r="C37" s="44">
        <v>2.2027674060849902</v>
      </c>
      <c r="D37" s="27"/>
      <c r="E37" s="29"/>
      <c r="F37" s="17"/>
      <c r="G37" s="17"/>
      <c r="H37" s="17"/>
      <c r="I37" s="37">
        <f>E37-F37-H37</f>
        <v>0</v>
      </c>
      <c r="J37" s="18"/>
      <c r="K37" s="19"/>
      <c r="L37" s="37"/>
      <c r="M37" s="19"/>
      <c r="N37" s="19">
        <f>J37-K37-M37</f>
        <v>0</v>
      </c>
      <c r="O37" s="11" t="e">
        <f t="shared" si="4"/>
        <v>#DIV/0!</v>
      </c>
      <c r="P37" s="39"/>
      <c r="Q37" s="27"/>
      <c r="S37" s="14"/>
    </row>
    <row r="38" spans="1:19" ht="13.5" thickBot="1">
      <c r="A38" s="53"/>
      <c r="B38" s="7"/>
      <c r="C38" s="44">
        <v>2.2027674060849902</v>
      </c>
      <c r="D38" s="27"/>
      <c r="E38" s="36">
        <f>E8</f>
        <v>161000</v>
      </c>
      <c r="F38" s="17"/>
      <c r="G38" s="17"/>
      <c r="H38" s="17"/>
      <c r="I38" s="37">
        <f t="shared" si="8"/>
        <v>161000</v>
      </c>
      <c r="J38" s="18"/>
      <c r="K38" s="19"/>
      <c r="L38" s="37"/>
      <c r="M38" s="19"/>
      <c r="N38" s="19">
        <v>2.3E-3</v>
      </c>
      <c r="O38" s="11">
        <f t="shared" si="4"/>
        <v>0</v>
      </c>
      <c r="P38" s="39"/>
      <c r="Q38" s="27"/>
      <c r="S38" s="14"/>
    </row>
    <row r="39" spans="1:19" ht="13.5" thickBot="1">
      <c r="A39" s="51" t="s">
        <v>10</v>
      </c>
      <c r="B39" s="7">
        <f>B36</f>
        <v>208160.59625724051</v>
      </c>
      <c r="C39" s="44">
        <v>2.2027674060849902</v>
      </c>
      <c r="D39" s="8">
        <f t="shared" si="7"/>
        <v>458529.37666666659</v>
      </c>
      <c r="E39" s="34"/>
      <c r="F39" s="34">
        <f>SUM(F40:F41)</f>
        <v>0</v>
      </c>
      <c r="G39" s="34">
        <f t="shared" ref="G39" si="63">SUM(G40:G41)</f>
        <v>0</v>
      </c>
      <c r="H39" s="34">
        <f t="shared" ref="H39" si="64">SUM(H40:H41)</f>
        <v>0</v>
      </c>
      <c r="I39" s="34">
        <f t="shared" ref="I39" si="65">SUM(I40:I41)</f>
        <v>161000</v>
      </c>
      <c r="J39" s="30">
        <f>SUM(J40:J41)</f>
        <v>0</v>
      </c>
      <c r="K39" s="32">
        <f t="shared" ref="K39" si="66">SUM(K40:K41)</f>
        <v>0</v>
      </c>
      <c r="L39" s="43">
        <f t="shared" ref="L39" si="67">SUM(L40:L41)</f>
        <v>0</v>
      </c>
      <c r="M39" s="32">
        <f t="shared" ref="M39" si="68">SUM(M40:M41)</f>
        <v>0</v>
      </c>
      <c r="N39" s="32">
        <f>SUM(N40:N41)</f>
        <v>2.3E-3</v>
      </c>
      <c r="O39" s="32"/>
      <c r="P39" s="31">
        <f>SUM(P40:P41)</f>
        <v>0</v>
      </c>
      <c r="Q39" s="12">
        <f>D39-P39</f>
        <v>458529.37666666659</v>
      </c>
      <c r="S39" s="14"/>
    </row>
    <row r="40" spans="1:19" ht="13.5" thickBot="1">
      <c r="A40" s="52"/>
      <c r="B40" s="7"/>
      <c r="C40" s="44">
        <v>2.2027674060849902</v>
      </c>
      <c r="D40" s="27"/>
      <c r="E40" s="29"/>
      <c r="F40" s="17"/>
      <c r="G40" s="17"/>
      <c r="H40" s="17"/>
      <c r="I40" s="37">
        <f>E40-F40-H40</f>
        <v>0</v>
      </c>
      <c r="J40" s="18"/>
      <c r="K40" s="19"/>
      <c r="L40" s="17"/>
      <c r="M40" s="19"/>
      <c r="N40" s="19">
        <f>J40-K40-M40</f>
        <v>0</v>
      </c>
      <c r="O40" s="11" t="e">
        <f t="shared" si="4"/>
        <v>#DIV/0!</v>
      </c>
      <c r="P40" s="39"/>
      <c r="Q40" s="27"/>
      <c r="S40" s="14"/>
    </row>
    <row r="41" spans="1:19" ht="13.5" thickBot="1">
      <c r="A41" s="53"/>
      <c r="B41" s="6"/>
      <c r="C41" s="44">
        <v>2.2027674060849902</v>
      </c>
      <c r="D41" s="8">
        <f t="shared" si="7"/>
        <v>0</v>
      </c>
      <c r="E41" s="35">
        <f>E8</f>
        <v>161000</v>
      </c>
      <c r="F41" s="17"/>
      <c r="G41" s="17"/>
      <c r="H41" s="17"/>
      <c r="I41" s="37">
        <f t="shared" si="8"/>
        <v>161000</v>
      </c>
      <c r="J41" s="18"/>
      <c r="K41" s="19"/>
      <c r="L41" s="17"/>
      <c r="M41" s="19"/>
      <c r="N41" s="19">
        <v>2.3E-3</v>
      </c>
      <c r="O41" s="11">
        <f t="shared" si="4"/>
        <v>0</v>
      </c>
      <c r="P41" s="38"/>
      <c r="Q41" s="12"/>
      <c r="S41" s="14"/>
    </row>
    <row r="42" spans="1:19" ht="13.5" thickBot="1">
      <c r="A42" s="3" t="s">
        <v>11</v>
      </c>
      <c r="B42" s="9">
        <f>D42/C42</f>
        <v>2497927.1550868861</v>
      </c>
      <c r="C42" s="44">
        <v>2.2027674060849902</v>
      </c>
      <c r="D42" s="10">
        <v>5502352.5199999996</v>
      </c>
      <c r="E42" s="42">
        <f>SUM(E6,E9,E12,E15,E18,E21,E24,E27,E30,E33,E36,E39)</f>
        <v>2267002</v>
      </c>
      <c r="F42" s="17"/>
      <c r="G42" s="7"/>
      <c r="H42" s="17"/>
      <c r="I42" s="17"/>
      <c r="J42" s="25">
        <f>AVERAGE(J6,J9,J12,J15,J18,J21,J24,J27,J30,J33,J36,J39)</f>
        <v>0.48649999999999993</v>
      </c>
      <c r="K42" s="41">
        <f t="shared" ref="K42:N42" si="69">AVERAGE(K6,K9,K12,K15,K18,K21,K24,K27,K30,K33,K36,K39)</f>
        <v>0.48228333333333334</v>
      </c>
      <c r="L42" s="41">
        <f t="shared" si="69"/>
        <v>0</v>
      </c>
      <c r="M42" s="41">
        <f t="shared" si="69"/>
        <v>2.4250000000000001E-3</v>
      </c>
      <c r="N42" s="41">
        <f t="shared" si="69"/>
        <v>3.1749999999999994E-3</v>
      </c>
      <c r="O42" s="11" t="e">
        <f>AVERAGE(O7:O41)</f>
        <v>#DIV/0!</v>
      </c>
      <c r="P42" s="5">
        <f t="shared" ref="P42:Q42" si="70">SUM(P6,P9,P12,P15,P18,P21,P24,P27,P30,P33,P36,P39)</f>
        <v>5200321.3699999992</v>
      </c>
      <c r="Q42" s="5">
        <f t="shared" si="70"/>
        <v>-156498.22666666727</v>
      </c>
      <c r="S42" s="15"/>
    </row>
    <row r="45" spans="1:19">
      <c r="F45" s="24"/>
      <c r="G45" s="24"/>
      <c r="H45" s="24"/>
      <c r="I45" s="24"/>
      <c r="J45" s="20"/>
      <c r="K45" s="20"/>
      <c r="L45" s="20"/>
      <c r="M45" s="20"/>
      <c r="P45" s="13"/>
    </row>
    <row r="46" spans="1:19">
      <c r="G46" s="20"/>
      <c r="H46" s="20"/>
      <c r="I46" s="20"/>
      <c r="J46" s="20"/>
      <c r="K46" s="20"/>
      <c r="L46" s="20"/>
      <c r="M46" s="20"/>
    </row>
    <row r="47" spans="1:19">
      <c r="G47" s="20"/>
      <c r="H47" s="20"/>
      <c r="I47" s="21"/>
      <c r="J47" s="20"/>
      <c r="K47" s="20"/>
      <c r="L47" s="20"/>
      <c r="M47" s="20"/>
    </row>
    <row r="48" spans="1:19">
      <c r="G48" s="20"/>
      <c r="H48" s="20"/>
      <c r="I48" s="20"/>
      <c r="J48" s="20"/>
      <c r="K48" s="20"/>
      <c r="L48" s="20"/>
      <c r="M48" s="20"/>
    </row>
    <row r="49" spans="4:13">
      <c r="G49" s="20"/>
      <c r="H49" s="20"/>
      <c r="I49" s="20"/>
      <c r="J49" s="20"/>
      <c r="K49" s="20"/>
      <c r="L49" s="20"/>
      <c r="M49" s="20"/>
    </row>
    <row r="50" spans="4:13">
      <c r="D50" s="13"/>
      <c r="G50" s="20"/>
      <c r="H50" s="20"/>
      <c r="I50" s="20"/>
      <c r="J50" s="20"/>
      <c r="K50" s="20"/>
      <c r="L50" s="20"/>
      <c r="M50" s="20"/>
    </row>
    <row r="51" spans="4:13">
      <c r="G51" s="20"/>
      <c r="H51" s="20"/>
      <c r="I51" s="20"/>
      <c r="J51" s="20"/>
      <c r="K51" s="20"/>
      <c r="L51" s="20"/>
      <c r="M51" s="20"/>
    </row>
    <row r="52" spans="4:13">
      <c r="G52" s="20"/>
      <c r="H52" s="20"/>
      <c r="I52" s="20"/>
      <c r="J52" s="20"/>
      <c r="K52" s="20"/>
      <c r="L52" s="20"/>
      <c r="M52" s="20"/>
    </row>
    <row r="53" spans="4:13">
      <c r="G53" s="20"/>
      <c r="H53" s="20"/>
      <c r="I53" s="20"/>
      <c r="J53" s="20"/>
      <c r="K53" s="20"/>
      <c r="L53" s="20"/>
      <c r="M53" s="20"/>
    </row>
  </sheetData>
  <mergeCells count="24">
    <mergeCell ref="A33:A35"/>
    <mergeCell ref="A36:A38"/>
    <mergeCell ref="A39:A41"/>
    <mergeCell ref="A18:A20"/>
    <mergeCell ref="A21:A23"/>
    <mergeCell ref="A24:A26"/>
    <mergeCell ref="A27:A29"/>
    <mergeCell ref="A30:A32"/>
    <mergeCell ref="A10:A11"/>
    <mergeCell ref="A6:A8"/>
    <mergeCell ref="A12:A14"/>
    <mergeCell ref="A15:A17"/>
    <mergeCell ref="A1:Q1"/>
    <mergeCell ref="A3:A5"/>
    <mergeCell ref="B3:D3"/>
    <mergeCell ref="E3:P3"/>
    <mergeCell ref="B4:B5"/>
    <mergeCell ref="C4:C5"/>
    <mergeCell ref="D4:D5"/>
    <mergeCell ref="F4:I4"/>
    <mergeCell ref="J4:N4"/>
    <mergeCell ref="O4:O5"/>
    <mergeCell ref="P4:P5"/>
    <mergeCell ref="Q4:Q5"/>
  </mergeCells>
  <pageMargins left="0.31496062992125984" right="0.31496062992125984" top="0.35433070866141736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53"/>
  <sheetViews>
    <sheetView topLeftCell="A4" workbookViewId="0">
      <selection activeCell="E6" sqref="E6"/>
    </sheetView>
  </sheetViews>
  <sheetFormatPr defaultRowHeight="12.75"/>
  <cols>
    <col min="1" max="1" width="13.140625" style="1" customWidth="1"/>
    <col min="2" max="2" width="10" style="1" hidden="1" customWidth="1"/>
    <col min="3" max="3" width="8.140625" style="1" hidden="1" customWidth="1"/>
    <col min="4" max="4" width="10.42578125" style="1" hidden="1" customWidth="1"/>
    <col min="5" max="5" width="11.7109375" style="1" customWidth="1"/>
    <col min="6" max="6" width="9.5703125" style="1" hidden="1" customWidth="1"/>
    <col min="7" max="7" width="5.42578125" style="1" hidden="1" customWidth="1"/>
    <col min="8" max="8" width="6.42578125" style="1" hidden="1" customWidth="1"/>
    <col min="9" max="9" width="8.42578125" style="1" hidden="1" customWidth="1"/>
    <col min="10" max="10" width="10" style="1" hidden="1" customWidth="1"/>
    <col min="11" max="11" width="10.28515625" style="1" hidden="1" customWidth="1"/>
    <col min="12" max="12" width="7.85546875" style="1" hidden="1" customWidth="1"/>
    <col min="13" max="14" width="9.7109375" style="1" hidden="1" customWidth="1"/>
    <col min="15" max="15" width="10.7109375" style="1" customWidth="1"/>
    <col min="16" max="16" width="10.5703125" style="1" customWidth="1"/>
    <col min="17" max="17" width="11.28515625" style="1" customWidth="1"/>
    <col min="18" max="18" width="9.140625" style="1"/>
    <col min="19" max="19" width="18.5703125" style="1" customWidth="1"/>
    <col min="20" max="16384" width="9.140625" style="1"/>
  </cols>
  <sheetData>
    <row r="1" spans="1:22" ht="15.75">
      <c r="A1" s="54" t="s">
        <v>31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1:22" ht="13.5" thickBot="1"/>
    <row r="3" spans="1:22" ht="25.5" customHeight="1" thickBot="1">
      <c r="A3" s="51" t="s">
        <v>12</v>
      </c>
      <c r="B3" s="55" t="s">
        <v>13</v>
      </c>
      <c r="C3" s="56"/>
      <c r="D3" s="57"/>
      <c r="E3" s="55" t="s">
        <v>14</v>
      </c>
      <c r="F3" s="56"/>
      <c r="G3" s="56"/>
      <c r="H3" s="56"/>
      <c r="I3" s="56"/>
      <c r="J3" s="56"/>
      <c r="K3" s="56"/>
      <c r="L3" s="56"/>
      <c r="M3" s="56"/>
      <c r="N3" s="56"/>
      <c r="O3" s="56"/>
      <c r="P3" s="57"/>
      <c r="Q3" s="2" t="s">
        <v>15</v>
      </c>
    </row>
    <row r="4" spans="1:22" ht="42.75" customHeight="1" thickBot="1">
      <c r="A4" s="52"/>
      <c r="B4" s="58" t="s">
        <v>21</v>
      </c>
      <c r="C4" s="58" t="s">
        <v>22</v>
      </c>
      <c r="D4" s="58" t="s">
        <v>16</v>
      </c>
      <c r="E4" s="4" t="s">
        <v>20</v>
      </c>
      <c r="F4" s="60" t="s">
        <v>24</v>
      </c>
      <c r="G4" s="61"/>
      <c r="H4" s="61"/>
      <c r="I4" s="62"/>
      <c r="J4" s="60" t="s">
        <v>29</v>
      </c>
      <c r="K4" s="61"/>
      <c r="L4" s="61"/>
      <c r="M4" s="61"/>
      <c r="N4" s="62"/>
      <c r="O4" s="63" t="s">
        <v>18</v>
      </c>
      <c r="P4" s="58" t="s">
        <v>17</v>
      </c>
      <c r="Q4" s="58" t="s">
        <v>19</v>
      </c>
    </row>
    <row r="5" spans="1:22" ht="42.75" customHeight="1" thickBot="1">
      <c r="A5" s="53"/>
      <c r="B5" s="59"/>
      <c r="C5" s="59"/>
      <c r="D5" s="59"/>
      <c r="E5" s="16" t="s">
        <v>30</v>
      </c>
      <c r="F5" s="16" t="s">
        <v>25</v>
      </c>
      <c r="G5" s="16" t="s">
        <v>26</v>
      </c>
      <c r="H5" s="16" t="s">
        <v>27</v>
      </c>
      <c r="I5" s="16" t="s">
        <v>28</v>
      </c>
      <c r="J5" s="16" t="s">
        <v>30</v>
      </c>
      <c r="K5" s="16" t="s">
        <v>25</v>
      </c>
      <c r="L5" s="16" t="s">
        <v>26</v>
      </c>
      <c r="M5" s="16" t="s">
        <v>27</v>
      </c>
      <c r="N5" s="16" t="s">
        <v>28</v>
      </c>
      <c r="O5" s="64"/>
      <c r="P5" s="59"/>
      <c r="Q5" s="59"/>
    </row>
    <row r="6" spans="1:22" ht="14.25" customHeight="1" thickBot="1">
      <c r="A6" s="48" t="s">
        <v>0</v>
      </c>
      <c r="B6" s="6">
        <f>B42/12</f>
        <v>208160.59625724051</v>
      </c>
      <c r="C6" s="44">
        <v>2.2027674060849902</v>
      </c>
      <c r="D6" s="47">
        <f>B6*C6</f>
        <v>458529.37666666659</v>
      </c>
      <c r="E6" s="34">
        <v>273475</v>
      </c>
      <c r="F6" s="34">
        <f>SUM(F7:F8)</f>
        <v>270961.76474999997</v>
      </c>
      <c r="G6" s="34">
        <f t="shared" ref="G6:I6" si="0">SUM(G7:G8)</f>
        <v>0</v>
      </c>
      <c r="H6" s="34">
        <f t="shared" si="0"/>
        <v>1331.8232499999999</v>
      </c>
      <c r="I6" s="34">
        <f t="shared" si="0"/>
        <v>1181.411999999998</v>
      </c>
      <c r="J6" s="30">
        <f>SUM(J7:J8)</f>
        <v>0.56800000000000006</v>
      </c>
      <c r="K6" s="32">
        <f t="shared" ref="K6:M6" si="1">SUM(K7:K8)</f>
        <v>0.56279999999999997</v>
      </c>
      <c r="L6" s="43">
        <f t="shared" si="1"/>
        <v>0</v>
      </c>
      <c r="M6" s="32">
        <f t="shared" si="1"/>
        <v>2.7000000000000001E-3</v>
      </c>
      <c r="N6" s="32">
        <f>SUM(N7:N8)</f>
        <v>2.5000000000000378E-3</v>
      </c>
      <c r="O6" s="32"/>
      <c r="P6" s="31">
        <f>SUM(P7:P8)</f>
        <v>670333.75</v>
      </c>
      <c r="Q6" s="12">
        <f>D6-P6</f>
        <v>-211804.37333333341</v>
      </c>
    </row>
    <row r="7" spans="1:22" ht="13.5" thickBot="1">
      <c r="A7" s="50"/>
      <c r="B7" s="6"/>
      <c r="C7" s="44">
        <v>2.2027674060849902</v>
      </c>
      <c r="D7" s="8">
        <f>B7*C7</f>
        <v>0</v>
      </c>
      <c r="E7" s="35">
        <f>E6-E8</f>
        <v>112475</v>
      </c>
      <c r="F7" s="37">
        <f>E7*0.99081</f>
        <v>111441.35475</v>
      </c>
      <c r="G7" s="37"/>
      <c r="H7" s="37">
        <f>E7*0.00487</f>
        <v>547.75324999999998</v>
      </c>
      <c r="I7" s="37">
        <f>E7-F7-H7</f>
        <v>485.89200000000142</v>
      </c>
      <c r="J7" s="18">
        <v>0.33400000000000002</v>
      </c>
      <c r="K7" s="19">
        <v>0.33129999999999998</v>
      </c>
      <c r="L7" s="37"/>
      <c r="M7" s="19">
        <v>1.6000000000000001E-3</v>
      </c>
      <c r="N7" s="19">
        <f>J7-K7-M7</f>
        <v>1.1000000000000356E-3</v>
      </c>
      <c r="O7" s="11">
        <f t="shared" ref="O7:O41" si="2">P7/E7</f>
        <v>2.3787399866637031</v>
      </c>
      <c r="P7" s="38">
        <v>267548.78000000003</v>
      </c>
      <c r="Q7" s="12"/>
    </row>
    <row r="8" spans="1:22" ht="13.5" thickBot="1">
      <c r="A8" s="49"/>
      <c r="B8" s="7"/>
      <c r="C8" s="44">
        <v>2.2027674060849902</v>
      </c>
      <c r="D8" s="27"/>
      <c r="E8" s="36">
        <v>161000</v>
      </c>
      <c r="F8" s="37">
        <f>E8*0.99081</f>
        <v>159520.41</v>
      </c>
      <c r="G8" s="37"/>
      <c r="H8" s="37">
        <f>E8*0.00487</f>
        <v>784.07</v>
      </c>
      <c r="I8" s="37">
        <f>E8-F8-H8</f>
        <v>695.51999999999646</v>
      </c>
      <c r="J8" s="18">
        <v>0.23400000000000001</v>
      </c>
      <c r="K8" s="19">
        <v>0.23150000000000001</v>
      </c>
      <c r="L8" s="37"/>
      <c r="M8" s="19">
        <v>1.1000000000000001E-3</v>
      </c>
      <c r="N8" s="19">
        <f>J8-K8-M8</f>
        <v>1.4000000000000022E-3</v>
      </c>
      <c r="O8" s="11">
        <f t="shared" si="2"/>
        <v>2.5017699999999996</v>
      </c>
      <c r="P8" s="39">
        <v>402784.97</v>
      </c>
      <c r="Q8" s="27"/>
    </row>
    <row r="9" spans="1:22" ht="13.5" thickBot="1">
      <c r="A9" s="46"/>
      <c r="B9" s="7"/>
      <c r="C9" s="44">
        <v>2.2027674060849902</v>
      </c>
      <c r="D9" s="27"/>
      <c r="E9" s="34">
        <v>249350</v>
      </c>
      <c r="F9" s="34">
        <f>SUM(F10:F11)</f>
        <v>246731.82500000001</v>
      </c>
      <c r="G9" s="34">
        <f t="shared" ref="G9:I9" si="3">SUM(G10:G11)</f>
        <v>0</v>
      </c>
      <c r="H9" s="34">
        <f t="shared" si="3"/>
        <v>1461.1909999999998</v>
      </c>
      <c r="I9" s="34">
        <f t="shared" si="3"/>
        <v>1156.9840000000031</v>
      </c>
      <c r="J9" s="30">
        <f>SUM(J10:J11)</f>
        <v>0.60199999999999998</v>
      </c>
      <c r="K9" s="30">
        <f t="shared" ref="K9:N9" si="4">SUM(K10:K11)</f>
        <v>0.59620000000000006</v>
      </c>
      <c r="L9" s="34">
        <f t="shared" si="4"/>
        <v>0</v>
      </c>
      <c r="M9" s="30">
        <f t="shared" si="4"/>
        <v>3.5999999999999999E-3</v>
      </c>
      <c r="N9" s="30">
        <f t="shared" si="4"/>
        <v>2.7999999999999961E-3</v>
      </c>
      <c r="O9" s="28"/>
      <c r="P9" s="31">
        <f>SUM(P10:P11)</f>
        <v>651134.6</v>
      </c>
      <c r="Q9" s="12">
        <f>D9-P9</f>
        <v>-651134.6</v>
      </c>
      <c r="V9" s="40"/>
    </row>
    <row r="10" spans="1:22" ht="13.5" thickBot="1">
      <c r="A10" s="48" t="s">
        <v>1</v>
      </c>
      <c r="B10" s="6">
        <f>B6</f>
        <v>208160.59625724051</v>
      </c>
      <c r="C10" s="44">
        <v>2.2027674060849902</v>
      </c>
      <c r="D10" s="8">
        <f t="shared" ref="D10:D41" si="5">B10*C10</f>
        <v>458529.37666666659</v>
      </c>
      <c r="E10" s="35">
        <f>E9-E11</f>
        <v>88350</v>
      </c>
      <c r="F10" s="37">
        <f>E10*0.9895</f>
        <v>87422.324999999997</v>
      </c>
      <c r="G10" s="17"/>
      <c r="H10" s="37">
        <f>E10*0.00586</f>
        <v>517.73099999999999</v>
      </c>
      <c r="I10" s="37">
        <f>E10-F10-H10</f>
        <v>409.94400000000292</v>
      </c>
      <c r="J10" s="22">
        <v>0.21299999999999999</v>
      </c>
      <c r="K10" s="23">
        <v>0.2112</v>
      </c>
      <c r="L10" s="37"/>
      <c r="M10" s="19">
        <v>1.2999999999999999E-3</v>
      </c>
      <c r="N10" s="19">
        <f>J10-K10-M10</f>
        <v>4.9999999999999611E-4</v>
      </c>
      <c r="O10" s="11">
        <f t="shared" si="2"/>
        <v>2.5318899830220714</v>
      </c>
      <c r="P10" s="38">
        <v>223692.48</v>
      </c>
      <c r="Q10" s="12"/>
    </row>
    <row r="11" spans="1:22" ht="13.5" thickBot="1">
      <c r="A11" s="49"/>
      <c r="B11" s="7"/>
      <c r="C11" s="44">
        <v>2.2027674060849902</v>
      </c>
      <c r="D11" s="27"/>
      <c r="E11" s="36">
        <f>E8</f>
        <v>161000</v>
      </c>
      <c r="F11" s="37">
        <f>E11*0.9895</f>
        <v>159309.5</v>
      </c>
      <c r="G11" s="17"/>
      <c r="H11" s="37">
        <f>E11*0.00586</f>
        <v>943.45999999999992</v>
      </c>
      <c r="I11" s="37">
        <f t="shared" ref="I11:I41" si="6">E11-F11-H11</f>
        <v>747.04000000000008</v>
      </c>
      <c r="J11" s="22">
        <v>0.38900000000000001</v>
      </c>
      <c r="K11" s="23">
        <v>0.38500000000000001</v>
      </c>
      <c r="L11" s="37"/>
      <c r="M11" s="19">
        <v>2.3E-3</v>
      </c>
      <c r="N11" s="19">
        <v>2.3E-3</v>
      </c>
      <c r="O11" s="11">
        <f t="shared" si="2"/>
        <v>2.6549200000000002</v>
      </c>
      <c r="P11" s="39">
        <v>427442.12</v>
      </c>
      <c r="Q11" s="27"/>
    </row>
    <row r="12" spans="1:22" ht="13.5" thickBot="1">
      <c r="A12" s="51" t="s">
        <v>2</v>
      </c>
      <c r="B12" s="6">
        <f>B6</f>
        <v>208160.59625724051</v>
      </c>
      <c r="C12" s="44">
        <v>2.2027674060849902</v>
      </c>
      <c r="D12" s="8">
        <f t="shared" si="5"/>
        <v>458529.37666666659</v>
      </c>
      <c r="E12" s="34">
        <v>260192</v>
      </c>
      <c r="F12" s="34">
        <f>SUM(F13:F14)</f>
        <v>257751.39903999999</v>
      </c>
      <c r="G12" s="34">
        <f t="shared" ref="G12:I12" si="7">SUM(G13:G14)</f>
        <v>0</v>
      </c>
      <c r="H12" s="34">
        <f t="shared" si="7"/>
        <v>1477.8905600000001</v>
      </c>
      <c r="I12" s="34">
        <f t="shared" si="7"/>
        <v>962.71040000002517</v>
      </c>
      <c r="J12" s="30">
        <f>SUM(J13:J14)</f>
        <v>0.61399999999999999</v>
      </c>
      <c r="K12" s="32">
        <f t="shared" ref="K12:M12" si="8">SUM(K13:K14)</f>
        <v>0.60810000000000008</v>
      </c>
      <c r="L12" s="43">
        <f t="shared" si="8"/>
        <v>0</v>
      </c>
      <c r="M12" s="32">
        <f t="shared" si="8"/>
        <v>3.5000000000000001E-3</v>
      </c>
      <c r="N12" s="32">
        <f>SUM(N13:N14)</f>
        <v>3.2000000000000075E-3</v>
      </c>
      <c r="O12" s="32"/>
      <c r="P12" s="31">
        <f>SUM(P13:P14)</f>
        <v>650791.64</v>
      </c>
      <c r="Q12" s="12">
        <f>D12-P12</f>
        <v>-192262.26333333342</v>
      </c>
    </row>
    <row r="13" spans="1:22" ht="13.5" thickBot="1">
      <c r="A13" s="52"/>
      <c r="B13" s="7"/>
      <c r="C13" s="44">
        <v>2.2027674060849902</v>
      </c>
      <c r="D13" s="27"/>
      <c r="E13" s="35">
        <f>E12-E14</f>
        <v>99192</v>
      </c>
      <c r="F13" s="37">
        <f>E13*0.99062</f>
        <v>98261.579039999997</v>
      </c>
      <c r="G13" s="17"/>
      <c r="H13" s="37">
        <f>E13*0.00568</f>
        <v>563.41056000000003</v>
      </c>
      <c r="I13" s="37">
        <f>E13-F13-H13</f>
        <v>367.01040000000307</v>
      </c>
      <c r="J13" s="18">
        <v>0.23400000000000001</v>
      </c>
      <c r="K13" s="19">
        <v>0.23180000000000001</v>
      </c>
      <c r="L13" s="37"/>
      <c r="M13" s="19">
        <v>1.2999999999999999E-3</v>
      </c>
      <c r="N13" s="19">
        <f>J13-K13-M13</f>
        <v>9.0000000000000756E-4</v>
      </c>
      <c r="O13" s="11">
        <f t="shared" si="2"/>
        <v>2.4250699653197838</v>
      </c>
      <c r="P13" s="39">
        <v>240547.54</v>
      </c>
      <c r="Q13" s="27"/>
    </row>
    <row r="14" spans="1:22" ht="13.5" thickBot="1">
      <c r="A14" s="53"/>
      <c r="B14" s="7"/>
      <c r="C14" s="44">
        <v>2.2027674060849902</v>
      </c>
      <c r="D14" s="27"/>
      <c r="E14" s="36">
        <f>E8</f>
        <v>161000</v>
      </c>
      <c r="F14" s="37">
        <f>E14*0.99062</f>
        <v>159489.81999999998</v>
      </c>
      <c r="G14" s="17"/>
      <c r="H14" s="37">
        <f>E14*0.00568</f>
        <v>914.48</v>
      </c>
      <c r="I14" s="37">
        <f>E14-F14-H14</f>
        <v>595.7000000000221</v>
      </c>
      <c r="J14" s="18">
        <v>0.38</v>
      </c>
      <c r="K14" s="19">
        <v>0.37630000000000002</v>
      </c>
      <c r="L14" s="37"/>
      <c r="M14" s="19">
        <v>2.2000000000000001E-3</v>
      </c>
      <c r="N14" s="19">
        <v>2.3E-3</v>
      </c>
      <c r="O14" s="11">
        <f t="shared" si="2"/>
        <v>2.5480999999999998</v>
      </c>
      <c r="P14" s="39">
        <v>410244.1</v>
      </c>
      <c r="Q14" s="27"/>
    </row>
    <row r="15" spans="1:22" ht="13.5" thickBot="1">
      <c r="A15" s="51" t="s">
        <v>3</v>
      </c>
      <c r="B15" s="6">
        <f>B12</f>
        <v>208160.59625724051</v>
      </c>
      <c r="C15" s="44">
        <v>2.2027674060849902</v>
      </c>
      <c r="D15" s="8">
        <f t="shared" si="5"/>
        <v>458529.37666666659</v>
      </c>
      <c r="E15" s="34">
        <v>250127</v>
      </c>
      <c r="F15" s="34">
        <f>SUM(F16:F17)</f>
        <v>247653.24397000001</v>
      </c>
      <c r="G15" s="34">
        <f t="shared" ref="G15:I15" si="9">SUM(G16:G17)</f>
        <v>0</v>
      </c>
      <c r="H15" s="34">
        <f t="shared" si="9"/>
        <v>1338.1794499999999</v>
      </c>
      <c r="I15" s="34">
        <f t="shared" si="9"/>
        <v>1135.5765799999751</v>
      </c>
      <c r="J15" s="30">
        <f>SUM(J16:J17)</f>
        <v>0.64500000000000002</v>
      </c>
      <c r="K15" s="32">
        <f t="shared" ref="K15:M15" si="10">SUM(K16:K17)</f>
        <v>0.63880000000000003</v>
      </c>
      <c r="L15" s="43">
        <f t="shared" si="10"/>
        <v>0</v>
      </c>
      <c r="M15" s="32">
        <f t="shared" si="10"/>
        <v>3.4000000000000002E-3</v>
      </c>
      <c r="N15" s="32">
        <f>SUM(N16:N17)</f>
        <v>3.8999999999999699E-3</v>
      </c>
      <c r="O15" s="32"/>
      <c r="P15" s="31">
        <f>SUM(P16:P17)</f>
        <v>638854.65</v>
      </c>
      <c r="Q15" s="12">
        <f>D15-P15</f>
        <v>-180325.27333333343</v>
      </c>
    </row>
    <row r="16" spans="1:22" ht="13.5" thickBot="1">
      <c r="A16" s="52"/>
      <c r="B16" s="7"/>
      <c r="C16" s="44">
        <v>2.2027674060849902</v>
      </c>
      <c r="D16" s="27"/>
      <c r="E16" s="36">
        <f>E15-E17</f>
        <v>89127</v>
      </c>
      <c r="F16" s="37">
        <f>E16*0.99011</f>
        <v>88245.533970000004</v>
      </c>
      <c r="G16" s="17"/>
      <c r="H16" s="45">
        <f>E16*0.00535</f>
        <v>476.82944999999995</v>
      </c>
      <c r="I16" s="45">
        <f>E16-F16-H16</f>
        <v>404.636579999996</v>
      </c>
      <c r="J16" s="18">
        <v>0.41499999999999998</v>
      </c>
      <c r="K16" s="19">
        <v>0.41120000000000001</v>
      </c>
      <c r="L16" s="37"/>
      <c r="M16" s="19">
        <v>2.2000000000000001E-3</v>
      </c>
      <c r="N16" s="19">
        <f>J16-K16-M16</f>
        <v>1.5999999999999699E-3</v>
      </c>
      <c r="O16" s="11">
        <f t="shared" si="2"/>
        <v>2.4749300436455846</v>
      </c>
      <c r="P16" s="39">
        <v>220583.09</v>
      </c>
      <c r="Q16" s="27"/>
    </row>
    <row r="17" spans="1:19" ht="13.5" thickBot="1">
      <c r="A17" s="53"/>
      <c r="B17" s="7"/>
      <c r="C17" s="44">
        <v>2.2027674060849902</v>
      </c>
      <c r="D17" s="27"/>
      <c r="E17" s="36">
        <f>E8</f>
        <v>161000</v>
      </c>
      <c r="F17" s="37">
        <f>E17*0.99011</f>
        <v>159407.71000000002</v>
      </c>
      <c r="G17" s="17"/>
      <c r="H17" s="37">
        <f>E17*0.00535</f>
        <v>861.34999999999991</v>
      </c>
      <c r="I17" s="37">
        <f t="shared" si="6"/>
        <v>730.93999999997914</v>
      </c>
      <c r="J17" s="18">
        <v>0.23</v>
      </c>
      <c r="K17" s="19">
        <v>0.2276</v>
      </c>
      <c r="L17" s="37"/>
      <c r="M17" s="19">
        <v>1.1999999999999999E-3</v>
      </c>
      <c r="N17" s="19">
        <v>2.3E-3</v>
      </c>
      <c r="O17" s="11">
        <f t="shared" si="2"/>
        <v>2.59796</v>
      </c>
      <c r="P17" s="39">
        <v>418271.56</v>
      </c>
      <c r="Q17" s="27"/>
    </row>
    <row r="18" spans="1:19" ht="13.5" thickBot="1">
      <c r="A18" s="51" t="s">
        <v>4</v>
      </c>
      <c r="B18" s="6">
        <f>B15</f>
        <v>208160.59625724051</v>
      </c>
      <c r="C18" s="44">
        <v>2.2027674060849902</v>
      </c>
      <c r="D18" s="8">
        <f t="shared" si="5"/>
        <v>458529.37666666659</v>
      </c>
      <c r="E18" s="34">
        <v>247375</v>
      </c>
      <c r="F18" s="34">
        <f>SUM(F19:F20)</f>
        <v>245316.84000000003</v>
      </c>
      <c r="G18" s="34">
        <f t="shared" ref="G18:I18" si="11">SUM(G19:G20)</f>
        <v>0</v>
      </c>
      <c r="H18" s="34">
        <f t="shared" si="11"/>
        <v>1137.925</v>
      </c>
      <c r="I18" s="34">
        <f t="shared" si="11"/>
        <v>920.23499999998899</v>
      </c>
      <c r="J18" s="30">
        <f>SUM(J19:J20)</f>
        <v>0.67100000000000004</v>
      </c>
      <c r="K18" s="32">
        <f t="shared" ref="K18:M18" si="12">SUM(K19:K20)</f>
        <v>0.66520000000000001</v>
      </c>
      <c r="L18" s="43">
        <f t="shared" si="12"/>
        <v>0</v>
      </c>
      <c r="M18" s="32">
        <f t="shared" si="12"/>
        <v>3.1000000000000003E-3</v>
      </c>
      <c r="N18" s="32">
        <f>SUM(N19:N20)</f>
        <v>4.3999999999999925E-3</v>
      </c>
      <c r="O18" s="32"/>
      <c r="P18" s="31">
        <f>SUM(P19:P20)</f>
        <v>596263.32000000007</v>
      </c>
      <c r="Q18" s="12">
        <f>D18-P18</f>
        <v>-137733.94333333347</v>
      </c>
    </row>
    <row r="19" spans="1:19" ht="13.5" thickBot="1">
      <c r="A19" s="52"/>
      <c r="B19" s="7"/>
      <c r="C19" s="44">
        <v>2.2027674060849902</v>
      </c>
      <c r="D19" s="27"/>
      <c r="E19" s="36">
        <v>86375</v>
      </c>
      <c r="F19" s="37">
        <f>E19*0.99168</f>
        <v>85656.36</v>
      </c>
      <c r="G19" s="17"/>
      <c r="H19" s="45">
        <f>E19*0.0046</f>
        <v>397.32499999999999</v>
      </c>
      <c r="I19" s="37">
        <f>E19-F19-H19</f>
        <v>321.31499999999943</v>
      </c>
      <c r="J19" s="18">
        <v>0.437</v>
      </c>
      <c r="K19" s="19">
        <v>0.43290000000000001</v>
      </c>
      <c r="L19" s="37"/>
      <c r="M19" s="19">
        <v>2E-3</v>
      </c>
      <c r="N19" s="19">
        <f>J19-K19-M19</f>
        <v>2.0999999999999925E-3</v>
      </c>
      <c r="O19" s="11">
        <f t="shared" si="2"/>
        <v>2.33029001447178</v>
      </c>
      <c r="P19" s="39">
        <v>201278.8</v>
      </c>
      <c r="Q19" s="27"/>
    </row>
    <row r="20" spans="1:19" ht="13.5" thickBot="1">
      <c r="A20" s="53"/>
      <c r="B20" s="7"/>
      <c r="C20" s="44">
        <v>2.2027674060849902</v>
      </c>
      <c r="D20" s="27"/>
      <c r="E20" s="36">
        <f>E8</f>
        <v>161000</v>
      </c>
      <c r="F20" s="37">
        <f>E20*0.99168</f>
        <v>159660.48000000001</v>
      </c>
      <c r="G20" s="17"/>
      <c r="H20" s="37">
        <f>E20*0.0046</f>
        <v>740.6</v>
      </c>
      <c r="I20" s="37">
        <f t="shared" si="6"/>
        <v>598.9199999999895</v>
      </c>
      <c r="J20" s="18">
        <v>0.23400000000000001</v>
      </c>
      <c r="K20" s="19">
        <v>0.23230000000000001</v>
      </c>
      <c r="L20" s="37"/>
      <c r="M20" s="19">
        <v>1.1000000000000001E-3</v>
      </c>
      <c r="N20" s="19">
        <v>2.3E-3</v>
      </c>
      <c r="O20" s="11">
        <f t="shared" si="2"/>
        <v>2.4533200000000002</v>
      </c>
      <c r="P20" s="39">
        <v>394984.52</v>
      </c>
      <c r="Q20" s="27"/>
    </row>
    <row r="21" spans="1:19" ht="13.5" thickBot="1">
      <c r="A21" s="51" t="s">
        <v>5</v>
      </c>
      <c r="B21" s="7">
        <f>B18</f>
        <v>208160.59625724051</v>
      </c>
      <c r="C21" s="44">
        <v>2.2027674060849902</v>
      </c>
      <c r="D21" s="8">
        <f t="shared" si="5"/>
        <v>458529.37666666659</v>
      </c>
      <c r="E21" s="34">
        <f>SUM(E22:E23)</f>
        <v>243018</v>
      </c>
      <c r="F21" s="34">
        <f>SUM(F22:F23)</f>
        <v>241268.27039999998</v>
      </c>
      <c r="G21" s="34">
        <f t="shared" ref="G21:I21" si="13">SUM(G22:G23)</f>
        <v>0</v>
      </c>
      <c r="H21" s="34">
        <f t="shared" si="13"/>
        <v>933.18912</v>
      </c>
      <c r="I21" s="34">
        <f t="shared" si="13"/>
        <v>816.54048000000603</v>
      </c>
      <c r="J21" s="30">
        <f>SUM(J22:J23)</f>
        <v>0.69000000000000006</v>
      </c>
      <c r="K21" s="32">
        <f t="shared" ref="K21:M21" si="14">SUM(K22:K23)</f>
        <v>0.68530000000000002</v>
      </c>
      <c r="L21" s="43">
        <f t="shared" si="14"/>
        <v>0</v>
      </c>
      <c r="M21" s="32">
        <f t="shared" si="14"/>
        <v>2.7000000000000001E-3</v>
      </c>
      <c r="N21" s="32">
        <f>SUM(N22:N23)</f>
        <v>3.5000000000000027E-3</v>
      </c>
      <c r="O21" s="32"/>
      <c r="P21" s="31">
        <f>SUM(P22:P23)</f>
        <v>645324.01</v>
      </c>
      <c r="Q21" s="12">
        <f>D21-P21</f>
        <v>-186794.63333333342</v>
      </c>
    </row>
    <row r="22" spans="1:19" ht="13.5" thickBot="1">
      <c r="A22" s="52"/>
      <c r="B22" s="7"/>
      <c r="C22" s="44">
        <v>2.2027674060849902</v>
      </c>
      <c r="D22" s="27"/>
      <c r="E22" s="36">
        <v>82018</v>
      </c>
      <c r="F22" s="37">
        <f>E22*0.9928</f>
        <v>81427.470400000006</v>
      </c>
      <c r="G22" s="17"/>
      <c r="H22" s="45">
        <f>E22*0.00384</f>
        <v>314.94911999999999</v>
      </c>
      <c r="I22" s="37">
        <f>E22-F22-H22</f>
        <v>275.5804799999944</v>
      </c>
      <c r="J22" s="18">
        <v>0.45700000000000002</v>
      </c>
      <c r="K22" s="19">
        <v>0.45400000000000001</v>
      </c>
      <c r="L22" s="37"/>
      <c r="M22" s="19">
        <v>1.8E-3</v>
      </c>
      <c r="N22" s="19">
        <f>J22-K22-M22</f>
        <v>1.2000000000000027E-3</v>
      </c>
      <c r="O22" s="11">
        <f t="shared" si="2"/>
        <v>2.57394998658831</v>
      </c>
      <c r="P22" s="39">
        <v>211110.23</v>
      </c>
      <c r="Q22" s="27"/>
    </row>
    <row r="23" spans="1:19" ht="13.5" thickBot="1">
      <c r="A23" s="53"/>
      <c r="B23" s="6"/>
      <c r="C23" s="44">
        <v>2.2027674060849902</v>
      </c>
      <c r="D23" s="8">
        <f t="shared" si="5"/>
        <v>0</v>
      </c>
      <c r="E23" s="35">
        <f>E8</f>
        <v>161000</v>
      </c>
      <c r="F23" s="37">
        <f>E23*0.9928</f>
        <v>159840.79999999999</v>
      </c>
      <c r="G23" s="17"/>
      <c r="H23" s="37">
        <f>E23*0.00384</f>
        <v>618.24</v>
      </c>
      <c r="I23" s="37">
        <f t="shared" si="6"/>
        <v>540.96000000001163</v>
      </c>
      <c r="J23" s="18">
        <v>0.23300000000000001</v>
      </c>
      <c r="K23" s="19">
        <v>0.23130000000000001</v>
      </c>
      <c r="L23" s="37"/>
      <c r="M23" s="19">
        <v>8.9999999999999998E-4</v>
      </c>
      <c r="N23" s="19">
        <v>2.3E-3</v>
      </c>
      <c r="O23" s="11">
        <f t="shared" si="2"/>
        <v>2.6969800000000004</v>
      </c>
      <c r="P23" s="38">
        <v>434213.78</v>
      </c>
      <c r="Q23" s="12"/>
    </row>
    <row r="24" spans="1:19" ht="13.5" thickBot="1">
      <c r="A24" s="51" t="s">
        <v>23</v>
      </c>
      <c r="B24" s="6">
        <f>B21</f>
        <v>208160.59625724051</v>
      </c>
      <c r="C24" s="44">
        <v>2.2027674060849902</v>
      </c>
      <c r="D24" s="8">
        <f t="shared" si="5"/>
        <v>458529.37666666659</v>
      </c>
      <c r="E24" s="34">
        <v>245995</v>
      </c>
      <c r="F24" s="34">
        <f>SUM(F25:F26)</f>
        <v>244086.07880000002</v>
      </c>
      <c r="G24" s="34">
        <f t="shared" ref="G24:I24" si="15">SUM(G25:G26)</f>
        <v>0</v>
      </c>
      <c r="H24" s="34">
        <f t="shared" si="15"/>
        <v>1033.1789999999999</v>
      </c>
      <c r="I24" s="34">
        <f t="shared" si="15"/>
        <v>875.74219999998263</v>
      </c>
      <c r="J24" s="30">
        <f>SUM(J25:J26)</f>
        <v>0.70500000000000007</v>
      </c>
      <c r="K24" s="32">
        <f t="shared" ref="K24:M24" si="16">SUM(K25:K26)</f>
        <v>0.6996</v>
      </c>
      <c r="L24" s="43">
        <f t="shared" si="16"/>
        <v>0</v>
      </c>
      <c r="M24" s="32">
        <f t="shared" si="16"/>
        <v>2.8999999999999998E-3</v>
      </c>
      <c r="N24" s="32">
        <f>SUM(N25:N26)</f>
        <v>3.5000000000000473E-3</v>
      </c>
      <c r="O24" s="32"/>
      <c r="P24" s="31">
        <f>SUM(P25:P26)</f>
        <v>0</v>
      </c>
      <c r="Q24" s="12">
        <f>D24-P24</f>
        <v>458529.37666666659</v>
      </c>
    </row>
    <row r="25" spans="1:19" ht="13.5" thickBot="1">
      <c r="A25" s="52"/>
      <c r="B25" s="7"/>
      <c r="C25" s="44">
        <v>2.2027674060849902</v>
      </c>
      <c r="D25" s="27"/>
      <c r="E25" s="36">
        <v>84995</v>
      </c>
      <c r="F25" s="37">
        <f>E25*0.99224</f>
        <v>84335.438800000004</v>
      </c>
      <c r="G25" s="17"/>
      <c r="H25" s="45">
        <f>E25*0.0042</f>
        <v>356.97899999999998</v>
      </c>
      <c r="I25" s="37">
        <f>E25-F25-H25</f>
        <v>302.58219999999648</v>
      </c>
      <c r="J25" s="18">
        <v>0.46100000000000002</v>
      </c>
      <c r="K25" s="19">
        <v>0.45789999999999997</v>
      </c>
      <c r="L25" s="37"/>
      <c r="M25" s="19">
        <v>1.9E-3</v>
      </c>
      <c r="N25" s="19">
        <f>J25-K25-M25</f>
        <v>1.2000000000000472E-3</v>
      </c>
      <c r="O25" s="11">
        <f t="shared" si="2"/>
        <v>0</v>
      </c>
      <c r="P25" s="39"/>
      <c r="Q25" s="27"/>
    </row>
    <row r="26" spans="1:19" ht="13.5" thickBot="1">
      <c r="A26" s="53"/>
      <c r="B26" s="7"/>
      <c r="C26" s="44">
        <v>2.2027674060849902</v>
      </c>
      <c r="D26" s="27"/>
      <c r="E26" s="36">
        <f>E8</f>
        <v>161000</v>
      </c>
      <c r="F26" s="37">
        <f>E26*0.99224</f>
        <v>159750.64000000001</v>
      </c>
      <c r="G26" s="17"/>
      <c r="H26" s="37">
        <f>E26*0.0042</f>
        <v>676.19999999999993</v>
      </c>
      <c r="I26" s="37">
        <f t="shared" si="6"/>
        <v>573.1599999999861</v>
      </c>
      <c r="J26" s="18">
        <v>0.24399999999999999</v>
      </c>
      <c r="K26" s="19">
        <v>0.2417</v>
      </c>
      <c r="L26" s="37"/>
      <c r="M26" s="19">
        <v>1E-3</v>
      </c>
      <c r="N26" s="19">
        <v>2.3E-3</v>
      </c>
      <c r="O26" s="11">
        <f t="shared" si="2"/>
        <v>0</v>
      </c>
      <c r="P26" s="39"/>
      <c r="Q26" s="27"/>
    </row>
    <row r="27" spans="1:19" ht="13.5" thickBot="1">
      <c r="A27" s="51" t="s">
        <v>6</v>
      </c>
      <c r="B27" s="6">
        <f>B24</f>
        <v>208160.59625724051</v>
      </c>
      <c r="C27" s="44">
        <v>2.2027674060849902</v>
      </c>
      <c r="D27" s="8">
        <f t="shared" si="5"/>
        <v>458529.37666666659</v>
      </c>
      <c r="E27" s="34"/>
      <c r="F27" s="34">
        <f>SUM(F28:F29)</f>
        <v>0</v>
      </c>
      <c r="G27" s="34">
        <f t="shared" ref="G27:I27" si="17">SUM(G28:G29)</f>
        <v>0</v>
      </c>
      <c r="H27" s="34">
        <f t="shared" si="17"/>
        <v>0</v>
      </c>
      <c r="I27" s="34">
        <f t="shared" si="17"/>
        <v>161000</v>
      </c>
      <c r="J27" s="30">
        <f>SUM(J28:J29)</f>
        <v>0</v>
      </c>
      <c r="K27" s="32">
        <f t="shared" ref="K27:M27" si="18">SUM(K28:K29)</f>
        <v>0</v>
      </c>
      <c r="L27" s="43">
        <f t="shared" si="18"/>
        <v>0</v>
      </c>
      <c r="M27" s="32">
        <f t="shared" si="18"/>
        <v>0</v>
      </c>
      <c r="N27" s="32">
        <f>SUM(N28:N29)</f>
        <v>2.3E-3</v>
      </c>
      <c r="O27" s="32"/>
      <c r="P27" s="31">
        <f>SUM(P28:P29)</f>
        <v>0</v>
      </c>
      <c r="Q27" s="12">
        <f>D27-P27</f>
        <v>458529.37666666659</v>
      </c>
    </row>
    <row r="28" spans="1:19" ht="13.5" thickBot="1">
      <c r="A28" s="52"/>
      <c r="B28" s="7"/>
      <c r="C28" s="44">
        <v>2.2027674060849902</v>
      </c>
      <c r="D28" s="27"/>
      <c r="E28" s="29"/>
      <c r="F28" s="17"/>
      <c r="G28" s="17"/>
      <c r="H28" s="17"/>
      <c r="I28" s="37">
        <f>E28-F28-H28</f>
        <v>0</v>
      </c>
      <c r="J28" s="18"/>
      <c r="K28" s="19"/>
      <c r="L28" s="37"/>
      <c r="M28" s="19"/>
      <c r="N28" s="19">
        <f>J28-K28-M28</f>
        <v>0</v>
      </c>
      <c r="O28" s="11" t="e">
        <f t="shared" si="2"/>
        <v>#DIV/0!</v>
      </c>
      <c r="P28" s="39"/>
      <c r="Q28" s="27"/>
    </row>
    <row r="29" spans="1:19" ht="13.5" thickBot="1">
      <c r="A29" s="53"/>
      <c r="B29" s="7"/>
      <c r="C29" s="44">
        <v>2.2027674060849902</v>
      </c>
      <c r="D29" s="27"/>
      <c r="E29" s="36">
        <f>E8</f>
        <v>161000</v>
      </c>
      <c r="F29" s="17"/>
      <c r="G29" s="17"/>
      <c r="H29" s="17"/>
      <c r="I29" s="37">
        <f t="shared" si="6"/>
        <v>161000</v>
      </c>
      <c r="J29" s="18"/>
      <c r="K29" s="19"/>
      <c r="L29" s="37"/>
      <c r="M29" s="19"/>
      <c r="N29" s="19">
        <v>2.3E-3</v>
      </c>
      <c r="O29" s="11">
        <f t="shared" si="2"/>
        <v>0</v>
      </c>
      <c r="P29" s="39"/>
      <c r="Q29" s="27"/>
    </row>
    <row r="30" spans="1:19" ht="13.5" thickBot="1">
      <c r="A30" s="51" t="s">
        <v>7</v>
      </c>
      <c r="B30" s="6">
        <f>B27</f>
        <v>208160.59625724051</v>
      </c>
      <c r="C30" s="44">
        <v>2.2027674060849902</v>
      </c>
      <c r="D30" s="8">
        <f t="shared" si="5"/>
        <v>458529.37666666659</v>
      </c>
      <c r="E30" s="34"/>
      <c r="F30" s="34">
        <f>SUM(F31:F32)</f>
        <v>0</v>
      </c>
      <c r="G30" s="34">
        <f t="shared" ref="G30" si="19">SUM(G31:G32)</f>
        <v>0</v>
      </c>
      <c r="H30" s="34">
        <f t="shared" ref="H30" si="20">SUM(H31:H32)</f>
        <v>0</v>
      </c>
      <c r="I30" s="34">
        <f t="shared" ref="I30" si="21">SUM(I31:I32)</f>
        <v>161000</v>
      </c>
      <c r="J30" s="30">
        <f>SUM(J31:J32)</f>
        <v>0</v>
      </c>
      <c r="K30" s="32">
        <f t="shared" ref="K30:M30" si="22">SUM(K31:K32)</f>
        <v>0</v>
      </c>
      <c r="L30" s="43">
        <f t="shared" si="22"/>
        <v>0</v>
      </c>
      <c r="M30" s="32">
        <f t="shared" si="22"/>
        <v>0</v>
      </c>
      <c r="N30" s="32">
        <f>SUM(N31:N32)</f>
        <v>2.3E-3</v>
      </c>
      <c r="O30" s="32"/>
      <c r="P30" s="31">
        <f>SUM(P31:P32)</f>
        <v>0</v>
      </c>
      <c r="Q30" s="12">
        <f>D30-P30</f>
        <v>458529.37666666659</v>
      </c>
      <c r="S30" s="13"/>
    </row>
    <row r="31" spans="1:19" ht="13.5" thickBot="1">
      <c r="A31" s="52"/>
      <c r="B31" s="7"/>
      <c r="C31" s="44">
        <v>2.2027674060849902</v>
      </c>
      <c r="D31" s="27"/>
      <c r="E31" s="29"/>
      <c r="F31" s="17"/>
      <c r="G31" s="17"/>
      <c r="H31" s="17"/>
      <c r="I31" s="37">
        <f>E31-F31-H31</f>
        <v>0</v>
      </c>
      <c r="J31" s="18"/>
      <c r="K31" s="19"/>
      <c r="L31" s="37"/>
      <c r="M31" s="19"/>
      <c r="N31" s="19">
        <f>J31-K31-M31</f>
        <v>0</v>
      </c>
      <c r="O31" s="11" t="e">
        <f t="shared" si="2"/>
        <v>#DIV/0!</v>
      </c>
      <c r="P31" s="39"/>
      <c r="Q31" s="27"/>
      <c r="S31" s="13"/>
    </row>
    <row r="32" spans="1:19" ht="13.5" thickBot="1">
      <c r="A32" s="53"/>
      <c r="B32" s="7"/>
      <c r="C32" s="44">
        <v>2.2027674060849902</v>
      </c>
      <c r="D32" s="27"/>
      <c r="E32" s="36">
        <f>E8</f>
        <v>161000</v>
      </c>
      <c r="F32" s="17"/>
      <c r="G32" s="17"/>
      <c r="H32" s="17"/>
      <c r="I32" s="37">
        <f t="shared" si="6"/>
        <v>161000</v>
      </c>
      <c r="J32" s="18"/>
      <c r="K32" s="19"/>
      <c r="L32" s="37"/>
      <c r="M32" s="19"/>
      <c r="N32" s="19">
        <v>2.3E-3</v>
      </c>
      <c r="O32" s="11">
        <f t="shared" si="2"/>
        <v>0</v>
      </c>
      <c r="P32" s="39"/>
      <c r="Q32" s="27"/>
      <c r="S32" s="13"/>
    </row>
    <row r="33" spans="1:19" ht="13.5" thickBot="1">
      <c r="A33" s="51" t="s">
        <v>8</v>
      </c>
      <c r="B33" s="6">
        <f>B30</f>
        <v>208160.59625724051</v>
      </c>
      <c r="C33" s="44">
        <v>2.2027674060849902</v>
      </c>
      <c r="D33" s="8">
        <f t="shared" si="5"/>
        <v>458529.37666666659</v>
      </c>
      <c r="E33" s="34"/>
      <c r="F33" s="34">
        <f>SUM(F34:F35)</f>
        <v>0</v>
      </c>
      <c r="G33" s="34">
        <f t="shared" ref="G33:I33" si="23">SUM(G34:G35)</f>
        <v>0</v>
      </c>
      <c r="H33" s="34">
        <f t="shared" si="23"/>
        <v>0</v>
      </c>
      <c r="I33" s="34">
        <f t="shared" si="23"/>
        <v>161000</v>
      </c>
      <c r="J33" s="30">
        <f>SUM(J34:J35)</f>
        <v>0</v>
      </c>
      <c r="K33" s="32">
        <f t="shared" ref="K33:M33" si="24">SUM(K34:K35)</f>
        <v>0</v>
      </c>
      <c r="L33" s="43">
        <f t="shared" si="24"/>
        <v>0</v>
      </c>
      <c r="M33" s="32">
        <f t="shared" si="24"/>
        <v>0</v>
      </c>
      <c r="N33" s="32">
        <f>SUM(N34:N35)</f>
        <v>2.3E-3</v>
      </c>
      <c r="O33" s="32"/>
      <c r="P33" s="31">
        <f>SUM(P34:P35)</f>
        <v>0</v>
      </c>
      <c r="Q33" s="12">
        <f>D33-P33</f>
        <v>458529.37666666659</v>
      </c>
    </row>
    <row r="34" spans="1:19" ht="13.5" thickBot="1">
      <c r="A34" s="52"/>
      <c r="B34" s="7"/>
      <c r="C34" s="44">
        <v>2.2027674060849902</v>
      </c>
      <c r="D34" s="27"/>
      <c r="E34" s="29"/>
      <c r="F34" s="17"/>
      <c r="G34" s="17"/>
      <c r="H34" s="17"/>
      <c r="I34" s="37">
        <f>E34-F34-H34</f>
        <v>0</v>
      </c>
      <c r="J34" s="18"/>
      <c r="K34" s="19"/>
      <c r="L34" s="37"/>
      <c r="M34" s="19"/>
      <c r="N34" s="19">
        <f>J34-K34-M34</f>
        <v>0</v>
      </c>
      <c r="O34" s="11" t="e">
        <f t="shared" si="2"/>
        <v>#DIV/0!</v>
      </c>
      <c r="P34" s="39"/>
      <c r="Q34" s="27"/>
    </row>
    <row r="35" spans="1:19" ht="13.5" thickBot="1">
      <c r="A35" s="53"/>
      <c r="B35" s="7"/>
      <c r="C35" s="44">
        <v>2.2027674060849902</v>
      </c>
      <c r="D35" s="27"/>
      <c r="E35" s="36">
        <f>E8</f>
        <v>161000</v>
      </c>
      <c r="F35" s="17"/>
      <c r="G35" s="17"/>
      <c r="H35" s="17"/>
      <c r="I35" s="37">
        <f t="shared" si="6"/>
        <v>161000</v>
      </c>
      <c r="J35" s="18"/>
      <c r="K35" s="19"/>
      <c r="L35" s="37"/>
      <c r="M35" s="19"/>
      <c r="N35" s="19">
        <v>2.3E-3</v>
      </c>
      <c r="O35" s="11">
        <f t="shared" si="2"/>
        <v>0</v>
      </c>
      <c r="P35" s="39"/>
      <c r="Q35" s="27"/>
    </row>
    <row r="36" spans="1:19" ht="13.5" thickBot="1">
      <c r="A36" s="51" t="s">
        <v>9</v>
      </c>
      <c r="B36" s="6">
        <f>B33</f>
        <v>208160.59625724051</v>
      </c>
      <c r="C36" s="44">
        <v>2.2027674060849902</v>
      </c>
      <c r="D36" s="8">
        <f t="shared" si="5"/>
        <v>458529.37666666659</v>
      </c>
      <c r="E36" s="34"/>
      <c r="F36" s="34">
        <f>SUM(F37:F38)</f>
        <v>0</v>
      </c>
      <c r="G36" s="34">
        <f t="shared" ref="G36:I36" si="25">SUM(G37:G38)</f>
        <v>0</v>
      </c>
      <c r="H36" s="34">
        <f t="shared" si="25"/>
        <v>0</v>
      </c>
      <c r="I36" s="34">
        <f t="shared" si="25"/>
        <v>161000</v>
      </c>
      <c r="J36" s="30">
        <f>SUM(J37:J38)</f>
        <v>0</v>
      </c>
      <c r="K36" s="32">
        <f t="shared" ref="K36:M36" si="26">SUM(K37:K38)</f>
        <v>0</v>
      </c>
      <c r="L36" s="43">
        <f t="shared" si="26"/>
        <v>0</v>
      </c>
      <c r="M36" s="32">
        <f t="shared" si="26"/>
        <v>0</v>
      </c>
      <c r="N36" s="32">
        <f>SUM(N37:N38)</f>
        <v>2.3E-3</v>
      </c>
      <c r="O36" s="32"/>
      <c r="P36" s="31">
        <f>SUM(P37:P38)</f>
        <v>0</v>
      </c>
      <c r="Q36" s="12">
        <f>D36-P36</f>
        <v>458529.37666666659</v>
      </c>
      <c r="S36" s="14"/>
    </row>
    <row r="37" spans="1:19" ht="13.5" thickBot="1">
      <c r="A37" s="52"/>
      <c r="B37" s="7"/>
      <c r="C37" s="44">
        <v>2.2027674060849902</v>
      </c>
      <c r="D37" s="27"/>
      <c r="E37" s="29"/>
      <c r="F37" s="17"/>
      <c r="G37" s="17"/>
      <c r="H37" s="17"/>
      <c r="I37" s="37">
        <f>E37-F37-H37</f>
        <v>0</v>
      </c>
      <c r="J37" s="18"/>
      <c r="K37" s="19"/>
      <c r="L37" s="37"/>
      <c r="M37" s="19"/>
      <c r="N37" s="19">
        <f>J37-K37-M37</f>
        <v>0</v>
      </c>
      <c r="O37" s="11" t="e">
        <f t="shared" si="2"/>
        <v>#DIV/0!</v>
      </c>
      <c r="P37" s="39"/>
      <c r="Q37" s="27"/>
      <c r="S37" s="14"/>
    </row>
    <row r="38" spans="1:19" ht="13.5" thickBot="1">
      <c r="A38" s="53"/>
      <c r="B38" s="7"/>
      <c r="C38" s="44">
        <v>2.2027674060849902</v>
      </c>
      <c r="D38" s="27"/>
      <c r="E38" s="36">
        <f>E8</f>
        <v>161000</v>
      </c>
      <c r="F38" s="17"/>
      <c r="G38" s="17"/>
      <c r="H38" s="17"/>
      <c r="I38" s="37">
        <f t="shared" si="6"/>
        <v>161000</v>
      </c>
      <c r="J38" s="18"/>
      <c r="K38" s="19"/>
      <c r="L38" s="37"/>
      <c r="M38" s="19"/>
      <c r="N38" s="19">
        <v>2.3E-3</v>
      </c>
      <c r="O38" s="11">
        <f t="shared" si="2"/>
        <v>0</v>
      </c>
      <c r="P38" s="39"/>
      <c r="Q38" s="27"/>
      <c r="S38" s="14"/>
    </row>
    <row r="39" spans="1:19" ht="13.5" thickBot="1">
      <c r="A39" s="51" t="s">
        <v>10</v>
      </c>
      <c r="B39" s="7">
        <f>B36</f>
        <v>208160.59625724051</v>
      </c>
      <c r="C39" s="44">
        <v>2.2027674060849902</v>
      </c>
      <c r="D39" s="8">
        <f t="shared" si="5"/>
        <v>458529.37666666659</v>
      </c>
      <c r="E39" s="34"/>
      <c r="F39" s="34">
        <f>SUM(F40:F41)</f>
        <v>0</v>
      </c>
      <c r="G39" s="34">
        <f t="shared" ref="G39:I39" si="27">SUM(G40:G41)</f>
        <v>0</v>
      </c>
      <c r="H39" s="34">
        <f t="shared" si="27"/>
        <v>0</v>
      </c>
      <c r="I39" s="34">
        <f t="shared" si="27"/>
        <v>161000</v>
      </c>
      <c r="J39" s="30">
        <f>SUM(J40:J41)</f>
        <v>0</v>
      </c>
      <c r="K39" s="32">
        <f t="shared" ref="K39:M39" si="28">SUM(K40:K41)</f>
        <v>0</v>
      </c>
      <c r="L39" s="43">
        <f t="shared" si="28"/>
        <v>0</v>
      </c>
      <c r="M39" s="32">
        <f t="shared" si="28"/>
        <v>0</v>
      </c>
      <c r="N39" s="32">
        <f>SUM(N40:N41)</f>
        <v>2.3E-3</v>
      </c>
      <c r="O39" s="32"/>
      <c r="P39" s="31">
        <f>SUM(P40:P41)</f>
        <v>0</v>
      </c>
      <c r="Q39" s="12">
        <f>D39-P39</f>
        <v>458529.37666666659</v>
      </c>
      <c r="S39" s="14"/>
    </row>
    <row r="40" spans="1:19" ht="13.5" thickBot="1">
      <c r="A40" s="52"/>
      <c r="B40" s="7"/>
      <c r="C40" s="44">
        <v>2.2027674060849902</v>
      </c>
      <c r="D40" s="27"/>
      <c r="E40" s="29"/>
      <c r="F40" s="17"/>
      <c r="G40" s="17"/>
      <c r="H40" s="17"/>
      <c r="I40" s="37">
        <f>E40-F40-H40</f>
        <v>0</v>
      </c>
      <c r="J40" s="18"/>
      <c r="K40" s="19"/>
      <c r="L40" s="17"/>
      <c r="M40" s="19"/>
      <c r="N40" s="19">
        <f>J40-K40-M40</f>
        <v>0</v>
      </c>
      <c r="O40" s="11" t="e">
        <f t="shared" si="2"/>
        <v>#DIV/0!</v>
      </c>
      <c r="P40" s="39"/>
      <c r="Q40" s="27"/>
      <c r="S40" s="14"/>
    </row>
    <row r="41" spans="1:19" ht="13.5" thickBot="1">
      <c r="A41" s="53"/>
      <c r="B41" s="6"/>
      <c r="C41" s="44">
        <v>2.2027674060849902</v>
      </c>
      <c r="D41" s="8">
        <f t="shared" si="5"/>
        <v>0</v>
      </c>
      <c r="E41" s="35">
        <f>E8</f>
        <v>161000</v>
      </c>
      <c r="F41" s="17"/>
      <c r="G41" s="17"/>
      <c r="H41" s="17"/>
      <c r="I41" s="37">
        <f t="shared" si="6"/>
        <v>161000</v>
      </c>
      <c r="J41" s="18"/>
      <c r="K41" s="19"/>
      <c r="L41" s="17"/>
      <c r="M41" s="19"/>
      <c r="N41" s="19">
        <v>2.3E-3</v>
      </c>
      <c r="O41" s="11">
        <f t="shared" si="2"/>
        <v>0</v>
      </c>
      <c r="P41" s="38"/>
      <c r="Q41" s="12"/>
      <c r="S41" s="14"/>
    </row>
    <row r="42" spans="1:19" ht="13.5" thickBot="1">
      <c r="A42" s="3" t="s">
        <v>11</v>
      </c>
      <c r="B42" s="9">
        <f>D42/C42</f>
        <v>2497927.1550868861</v>
      </c>
      <c r="C42" s="44">
        <v>2.2027674060849902</v>
      </c>
      <c r="D42" s="10">
        <v>5502352.5199999996</v>
      </c>
      <c r="E42" s="42">
        <f>SUM(E6,E9,E12,E15,E18,E21,E24,E27,E30,E33,E36,E39)</f>
        <v>1769532</v>
      </c>
      <c r="F42" s="17"/>
      <c r="G42" s="7"/>
      <c r="H42" s="17"/>
      <c r="I42" s="17"/>
      <c r="J42" s="25">
        <f>AVERAGE(J6,J9,J12,J15,J18,J21,J24,J27,J30,J33,J36,J39)</f>
        <v>0.37458333333333327</v>
      </c>
      <c r="K42" s="41">
        <f t="shared" ref="K42:N42" si="29">AVERAGE(K6,K9,K12,K15,K18,K21,K24,K27,K30,K33,K36,K39)</f>
        <v>0.37133333333333335</v>
      </c>
      <c r="L42" s="41">
        <f t="shared" si="29"/>
        <v>0</v>
      </c>
      <c r="M42" s="41">
        <f t="shared" si="29"/>
        <v>1.8250000000000002E-3</v>
      </c>
      <c r="N42" s="41">
        <f t="shared" si="29"/>
        <v>2.941666666666671E-3</v>
      </c>
      <c r="O42" s="11" t="e">
        <f>AVERAGE(O7:O41)</f>
        <v>#DIV/0!</v>
      </c>
      <c r="P42" s="5">
        <f t="shared" ref="P42:Q42" si="30">SUM(P6,P9,P12,P15,P18,P21,P24,P27,P30,P33,P36,P39)</f>
        <v>3852701.9699999997</v>
      </c>
      <c r="Q42" s="5">
        <f t="shared" si="30"/>
        <v>1191121.1733333324</v>
      </c>
      <c r="S42" s="15"/>
    </row>
    <row r="45" spans="1:19">
      <c r="F45" s="24"/>
      <c r="G45" s="24"/>
      <c r="H45" s="24"/>
      <c r="I45" s="24"/>
      <c r="J45" s="20"/>
      <c r="K45" s="20"/>
      <c r="L45" s="20"/>
      <c r="M45" s="20"/>
      <c r="P45" s="13"/>
    </row>
    <row r="46" spans="1:19">
      <c r="G46" s="20"/>
      <c r="H46" s="20"/>
      <c r="I46" s="20"/>
      <c r="J46" s="20"/>
      <c r="K46" s="20"/>
      <c r="L46" s="20"/>
      <c r="M46" s="20"/>
    </row>
    <row r="47" spans="1:19">
      <c r="G47" s="20"/>
      <c r="H47" s="20"/>
      <c r="I47" s="21"/>
      <c r="J47" s="20"/>
      <c r="K47" s="20"/>
      <c r="L47" s="20"/>
      <c r="M47" s="20"/>
    </row>
    <row r="48" spans="1:19">
      <c r="G48" s="20"/>
      <c r="H48" s="20"/>
      <c r="I48" s="20"/>
      <c r="J48" s="20"/>
      <c r="K48" s="20"/>
      <c r="L48" s="20"/>
      <c r="M48" s="20"/>
    </row>
    <row r="49" spans="4:13">
      <c r="G49" s="20"/>
      <c r="H49" s="20"/>
      <c r="I49" s="20"/>
      <c r="J49" s="20"/>
      <c r="K49" s="20"/>
      <c r="L49" s="20"/>
      <c r="M49" s="20"/>
    </row>
    <row r="50" spans="4:13">
      <c r="D50" s="13"/>
      <c r="G50" s="20"/>
      <c r="H50" s="20"/>
      <c r="I50" s="20"/>
      <c r="J50" s="20"/>
      <c r="K50" s="20"/>
      <c r="L50" s="20"/>
      <c r="M50" s="20"/>
    </row>
    <row r="51" spans="4:13">
      <c r="G51" s="20"/>
      <c r="H51" s="20"/>
      <c r="I51" s="20"/>
      <c r="J51" s="20"/>
      <c r="K51" s="20"/>
      <c r="L51" s="20"/>
      <c r="M51" s="20"/>
    </row>
    <row r="52" spans="4:13">
      <c r="G52" s="20"/>
      <c r="H52" s="20"/>
      <c r="I52" s="20"/>
      <c r="J52" s="20"/>
      <c r="K52" s="20"/>
      <c r="L52" s="20"/>
      <c r="M52" s="20"/>
    </row>
    <row r="53" spans="4:13">
      <c r="G53" s="20"/>
      <c r="H53" s="20"/>
      <c r="I53" s="20"/>
      <c r="J53" s="20"/>
      <c r="K53" s="20"/>
      <c r="L53" s="20"/>
      <c r="M53" s="20"/>
    </row>
  </sheetData>
  <mergeCells count="24">
    <mergeCell ref="A36:A38"/>
    <mergeCell ref="A39:A41"/>
    <mergeCell ref="A18:A20"/>
    <mergeCell ref="A21:A23"/>
    <mergeCell ref="A24:A26"/>
    <mergeCell ref="A27:A29"/>
    <mergeCell ref="A30:A32"/>
    <mergeCell ref="A33:A35"/>
    <mergeCell ref="A15:A17"/>
    <mergeCell ref="A1:Q1"/>
    <mergeCell ref="A3:A5"/>
    <mergeCell ref="B3:D3"/>
    <mergeCell ref="E3:P3"/>
    <mergeCell ref="B4:B5"/>
    <mergeCell ref="C4:C5"/>
    <mergeCell ref="D4:D5"/>
    <mergeCell ref="F4:I4"/>
    <mergeCell ref="J4:N4"/>
    <mergeCell ref="O4:O5"/>
    <mergeCell ref="P4:P5"/>
    <mergeCell ref="Q4:Q5"/>
    <mergeCell ref="A6:A8"/>
    <mergeCell ref="A10:A11"/>
    <mergeCell ref="A12:A14"/>
  </mergeCells>
  <pageMargins left="0.31496062992125984" right="0.31496062992125984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 год</vt:lpstr>
      <vt:lpstr>2020 год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EA_Shirokova</cp:lastModifiedBy>
  <cp:lastPrinted>2020-03-01T09:02:57Z</cp:lastPrinted>
  <dcterms:created xsi:type="dcterms:W3CDTF">2015-07-23T07:53:33Z</dcterms:created>
  <dcterms:modified xsi:type="dcterms:W3CDTF">2020-10-19T12:55:41Z</dcterms:modified>
</cp:coreProperties>
</file>