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Шаблоны 2022\Балансы+Потери+ТП\"/>
    </mc:Choice>
  </mc:AlternateContent>
  <bookViews>
    <workbookView xWindow="17190" yWindow="-150" windowWidth="15060" windowHeight="11760"/>
  </bookViews>
  <sheets>
    <sheet name="2022 год " sheetId="5" r:id="rId1"/>
  </sheets>
  <calcPr calcId="162913"/>
</workbook>
</file>

<file path=xl/calcChain.xml><?xml version="1.0" encoding="utf-8"?>
<calcChain xmlns="http://schemas.openxmlformats.org/spreadsheetml/2006/main">
  <c r="E42" i="5" l="1"/>
  <c r="O42" i="5" s="1"/>
  <c r="F42" i="5" l="1"/>
  <c r="E45" i="5" l="1"/>
  <c r="J39" i="5" l="1"/>
  <c r="H41" i="5"/>
  <c r="H40" i="5"/>
  <c r="F41" i="5"/>
  <c r="F40" i="5"/>
  <c r="H38" i="5" l="1"/>
  <c r="H37" i="5"/>
  <c r="F38" i="5"/>
  <c r="F37" i="5"/>
  <c r="H35" i="5" l="1"/>
  <c r="H34" i="5"/>
  <c r="F35" i="5"/>
  <c r="F34" i="5"/>
  <c r="F31" i="5"/>
  <c r="F32" i="5"/>
  <c r="H32" i="5" l="1"/>
  <c r="H31" i="5"/>
  <c r="H29" i="5" l="1"/>
  <c r="H28" i="5"/>
  <c r="F29" i="5"/>
  <c r="F28" i="5"/>
  <c r="P24" i="5" l="1"/>
  <c r="P9" i="5"/>
  <c r="P21" i="5"/>
  <c r="H26" i="5"/>
  <c r="H25" i="5"/>
  <c r="F26" i="5"/>
  <c r="F25" i="5"/>
  <c r="E22" i="5" l="1"/>
  <c r="H22" i="5" s="1"/>
  <c r="H23" i="5"/>
  <c r="F23" i="5"/>
  <c r="F22" i="5" l="1"/>
  <c r="H20" i="5"/>
  <c r="H19" i="5"/>
  <c r="F17" i="5"/>
  <c r="F16" i="5"/>
  <c r="O17" i="5" l="1"/>
  <c r="O15" i="5"/>
  <c r="J15" i="5" l="1"/>
  <c r="H17" i="5"/>
  <c r="H16" i="5"/>
  <c r="F14" i="5"/>
  <c r="F13" i="5"/>
  <c r="C8" i="5" l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7" i="5"/>
  <c r="C6" i="5"/>
  <c r="B42" i="5" l="1"/>
  <c r="H14" i="5" l="1"/>
  <c r="H13" i="5"/>
  <c r="H7" i="5" l="1"/>
  <c r="F7" i="5"/>
  <c r="F8" i="5"/>
  <c r="E7" i="5" l="1"/>
  <c r="O10" i="5"/>
  <c r="O11" i="5"/>
  <c r="H11" i="5"/>
  <c r="H8" i="5" l="1"/>
  <c r="H44" i="5" l="1"/>
  <c r="F44" i="5"/>
  <c r="I44" i="5" s="1"/>
  <c r="E43" i="5"/>
  <c r="D42" i="5"/>
  <c r="O41" i="5"/>
  <c r="N41" i="5"/>
  <c r="D41" i="5"/>
  <c r="N40" i="5"/>
  <c r="E40" i="5"/>
  <c r="D40" i="5"/>
  <c r="P39" i="5"/>
  <c r="P42" i="5" s="1"/>
  <c r="M39" i="5"/>
  <c r="L39" i="5"/>
  <c r="K39" i="5"/>
  <c r="G39" i="5"/>
  <c r="O38" i="5"/>
  <c r="N38" i="5"/>
  <c r="N36" i="5" s="1"/>
  <c r="D38" i="5"/>
  <c r="N37" i="5"/>
  <c r="E37" i="5"/>
  <c r="O37" i="5" s="1"/>
  <c r="D37" i="5"/>
  <c r="P36" i="5"/>
  <c r="O36" i="5" s="1"/>
  <c r="M36" i="5"/>
  <c r="L36" i="5"/>
  <c r="K36" i="5"/>
  <c r="J36" i="5"/>
  <c r="G36" i="5"/>
  <c r="O35" i="5"/>
  <c r="N35" i="5"/>
  <c r="I35" i="5"/>
  <c r="D35" i="5"/>
  <c r="N34" i="5"/>
  <c r="E34" i="5"/>
  <c r="D34" i="5"/>
  <c r="P33" i="5"/>
  <c r="O33" i="5"/>
  <c r="M33" i="5"/>
  <c r="L33" i="5"/>
  <c r="K33" i="5"/>
  <c r="J33" i="5"/>
  <c r="G33" i="5"/>
  <c r="O32" i="5"/>
  <c r="N32" i="5"/>
  <c r="D32" i="5"/>
  <c r="N31" i="5"/>
  <c r="N30" i="5" s="1"/>
  <c r="E31" i="5"/>
  <c r="D31" i="5"/>
  <c r="P30" i="5"/>
  <c r="O30" i="5" s="1"/>
  <c r="M30" i="5"/>
  <c r="L30" i="5"/>
  <c r="K30" i="5"/>
  <c r="J30" i="5"/>
  <c r="G30" i="5"/>
  <c r="O29" i="5"/>
  <c r="N29" i="5"/>
  <c r="I29" i="5"/>
  <c r="D29" i="5"/>
  <c r="N28" i="5"/>
  <c r="E28" i="5"/>
  <c r="O28" i="5" s="1"/>
  <c r="D28" i="5"/>
  <c r="P27" i="5"/>
  <c r="O27" i="5" s="1"/>
  <c r="N27" i="5"/>
  <c r="M27" i="5"/>
  <c r="L27" i="5"/>
  <c r="K27" i="5"/>
  <c r="J27" i="5"/>
  <c r="G27" i="5"/>
  <c r="O26" i="5"/>
  <c r="N26" i="5"/>
  <c r="N24" i="5" s="1"/>
  <c r="I26" i="5"/>
  <c r="D26" i="5"/>
  <c r="N25" i="5"/>
  <c r="E25" i="5"/>
  <c r="D25" i="5"/>
  <c r="O24" i="5"/>
  <c r="M24" i="5"/>
  <c r="L24" i="5"/>
  <c r="K24" i="5"/>
  <c r="J24" i="5"/>
  <c r="G24" i="5"/>
  <c r="O23" i="5"/>
  <c r="N23" i="5"/>
  <c r="H21" i="5"/>
  <c r="D23" i="5"/>
  <c r="O22" i="5"/>
  <c r="N22" i="5"/>
  <c r="I22" i="5"/>
  <c r="D22" i="5"/>
  <c r="M21" i="5"/>
  <c r="L21" i="5"/>
  <c r="K21" i="5"/>
  <c r="J21" i="5"/>
  <c r="G21" i="5"/>
  <c r="O20" i="5"/>
  <c r="N20" i="5"/>
  <c r="F20" i="5"/>
  <c r="D20" i="5"/>
  <c r="N19" i="5"/>
  <c r="E19" i="5"/>
  <c r="D19" i="5"/>
  <c r="P18" i="5"/>
  <c r="O18" i="5" s="1"/>
  <c r="M18" i="5"/>
  <c r="L18" i="5"/>
  <c r="K18" i="5"/>
  <c r="J18" i="5"/>
  <c r="G18" i="5"/>
  <c r="D17" i="5"/>
  <c r="E16" i="5"/>
  <c r="D16" i="5"/>
  <c r="P15" i="5"/>
  <c r="N15" i="5"/>
  <c r="M15" i="5"/>
  <c r="L15" i="5"/>
  <c r="K15" i="5"/>
  <c r="G15" i="5"/>
  <c r="O14" i="5"/>
  <c r="N14" i="5"/>
  <c r="I14" i="5"/>
  <c r="D14" i="5"/>
  <c r="N13" i="5"/>
  <c r="E13" i="5"/>
  <c r="D13" i="5"/>
  <c r="P12" i="5"/>
  <c r="O12" i="5" s="1"/>
  <c r="M12" i="5"/>
  <c r="L12" i="5"/>
  <c r="K12" i="5"/>
  <c r="J12" i="5"/>
  <c r="G12" i="5"/>
  <c r="N11" i="5"/>
  <c r="F11" i="5"/>
  <c r="I11" i="5" s="1"/>
  <c r="D11" i="5"/>
  <c r="N10" i="5"/>
  <c r="E10" i="5"/>
  <c r="D10" i="5"/>
  <c r="O9" i="5"/>
  <c r="M9" i="5"/>
  <c r="L9" i="5"/>
  <c r="K9" i="5"/>
  <c r="J9" i="5"/>
  <c r="G9" i="5"/>
  <c r="O8" i="5"/>
  <c r="N8" i="5"/>
  <c r="I8" i="5"/>
  <c r="D8" i="5"/>
  <c r="N7" i="5"/>
  <c r="D7" i="5"/>
  <c r="P6" i="5"/>
  <c r="M6" i="5"/>
  <c r="L6" i="5"/>
  <c r="L42" i="5" s="1"/>
  <c r="K6" i="5"/>
  <c r="J6" i="5"/>
  <c r="G6" i="5"/>
  <c r="G42" i="5" s="1"/>
  <c r="B6" i="5"/>
  <c r="D6" i="5" s="1"/>
  <c r="F43" i="5" l="1"/>
  <c r="H43" i="5"/>
  <c r="I43" i="5" s="1"/>
  <c r="O39" i="5"/>
  <c r="N39" i="5"/>
  <c r="N33" i="5"/>
  <c r="N21" i="5"/>
  <c r="N18" i="5"/>
  <c r="B9" i="5"/>
  <c r="D9" i="5" s="1"/>
  <c r="R9" i="5" s="1"/>
  <c r="F39" i="5"/>
  <c r="F24" i="5"/>
  <c r="K42" i="5"/>
  <c r="N12" i="5"/>
  <c r="N42" i="5" s="1"/>
  <c r="N9" i="5"/>
  <c r="M42" i="5"/>
  <c r="H36" i="5"/>
  <c r="I38" i="5"/>
  <c r="O25" i="5"/>
  <c r="H27" i="5"/>
  <c r="I17" i="5"/>
  <c r="I23" i="5"/>
  <c r="I21" i="5" s="1"/>
  <c r="O31" i="5"/>
  <c r="H30" i="5"/>
  <c r="I31" i="5"/>
  <c r="I32" i="5"/>
  <c r="F21" i="5"/>
  <c r="O21" i="5"/>
  <c r="I20" i="5"/>
  <c r="F15" i="5"/>
  <c r="F12" i="5"/>
  <c r="O13" i="5"/>
  <c r="N6" i="5"/>
  <c r="O6" i="5"/>
  <c r="R6" i="5"/>
  <c r="J42" i="5"/>
  <c r="I41" i="5"/>
  <c r="O40" i="5"/>
  <c r="H24" i="5"/>
  <c r="H12" i="5"/>
  <c r="I16" i="5"/>
  <c r="I15" i="5" s="1"/>
  <c r="H15" i="5"/>
  <c r="F6" i="5"/>
  <c r="O7" i="5"/>
  <c r="F10" i="5"/>
  <c r="F9" i="5" s="1"/>
  <c r="B12" i="5"/>
  <c r="O16" i="5"/>
  <c r="F19" i="5"/>
  <c r="F18" i="5" s="1"/>
  <c r="O19" i="5"/>
  <c r="F33" i="5"/>
  <c r="O34" i="5"/>
  <c r="H39" i="5"/>
  <c r="H6" i="5"/>
  <c r="H10" i="5"/>
  <c r="H9" i="5" s="1"/>
  <c r="H18" i="5"/>
  <c r="H33" i="5"/>
  <c r="E48" i="5"/>
  <c r="F27" i="5"/>
  <c r="F36" i="5"/>
  <c r="I25" i="5" l="1"/>
  <c r="I24" i="5" s="1"/>
  <c r="I13" i="5"/>
  <c r="I12" i="5" s="1"/>
  <c r="I37" i="5"/>
  <c r="I36" i="5" s="1"/>
  <c r="I30" i="5"/>
  <c r="F30" i="5"/>
  <c r="I28" i="5"/>
  <c r="I27" i="5" s="1"/>
  <c r="I7" i="5"/>
  <c r="I6" i="5" s="1"/>
  <c r="I40" i="5"/>
  <c r="I39" i="5" s="1"/>
  <c r="B15" i="5"/>
  <c r="D12" i="5"/>
  <c r="R12" i="5" s="1"/>
  <c r="I10" i="5"/>
  <c r="I9" i="5" s="1"/>
  <c r="I19" i="5"/>
  <c r="I18" i="5" s="1"/>
  <c r="H42" i="5"/>
  <c r="I34" i="5"/>
  <c r="I33" i="5" s="1"/>
  <c r="I42" i="5" l="1"/>
  <c r="D15" i="5"/>
  <c r="R15" i="5" s="1"/>
  <c r="B18" i="5"/>
  <c r="B21" i="5" l="1"/>
  <c r="D18" i="5"/>
  <c r="R18" i="5" s="1"/>
  <c r="D21" i="5" l="1"/>
  <c r="R21" i="5" s="1"/>
  <c r="B24" i="5"/>
  <c r="B27" i="5" l="1"/>
  <c r="D24" i="5"/>
  <c r="R24" i="5" s="1"/>
  <c r="D27" i="5" l="1"/>
  <c r="R27" i="5" s="1"/>
  <c r="B30" i="5"/>
  <c r="B33" i="5" l="1"/>
  <c r="D30" i="5"/>
  <c r="R30" i="5" s="1"/>
  <c r="B36" i="5" l="1"/>
  <c r="D33" i="5"/>
  <c r="R33" i="5" s="1"/>
  <c r="B39" i="5" l="1"/>
  <c r="D39" i="5" s="1"/>
  <c r="R39" i="5" s="1"/>
  <c r="D36" i="5"/>
  <c r="R36" i="5" s="1"/>
  <c r="R42" i="5" l="1"/>
</calcChain>
</file>

<file path=xl/sharedStrings.xml><?xml version="1.0" encoding="utf-8"?>
<sst xmlns="http://schemas.openxmlformats.org/spreadsheetml/2006/main" count="38" uniqueCount="33">
  <si>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</si>
  <si>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</si>
  <si>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</si>
  <si>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</si>
  <si>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</si>
  <si>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</si>
  <si>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</si>
  <si>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</si>
  <si>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</si>
  <si>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</si>
  <si>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</si>
  <si>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</si>
  <si>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</si>
  <si>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</si>
  <si>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</si>
  <si>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</si>
  <si>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</si>
  <si>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</si>
  <si>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</si>
  <si>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</si>
  <si>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</si>
  <si>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</si>
  <si>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</si>
  <si>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</si>
  <si>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</si>
  <si>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</si>
  <si>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</si>
  <si>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</si>
  <si>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</si>
  <si>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</si>
  <si>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Потери, оплаченные МРСК по ставке на потери, руб. без НДС</t>
  </si>
  <si>
    <t>2022 год. Расходы на оплату (компенсацию) технологических потерь в филиала АО "ЭСК ЧТПЗ" в г. Первоуральск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</si>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</sst>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#,##0.000"/>
    <numFmt numFmtId="167" formatCode="&quot;$&quot;#,##0_);[Red]\(&quot;$&quot;#,##0\)"/>
    <numFmt numFmtId="168" formatCode="_-* #,##0.00[$€-1]_-;\-* #,##0.00[$€-1]_-;_-* &quot;-&quot;??[$€-1]_-"/>
    <numFmt numFmtId="169" formatCode="#,##0.0000"/>
    <numFmt numFmtId="170" formatCode="#,##0.0"/>
    <numFmt numFmtId="171" formatCode="0.000"/>
    <numFmt numFmtId="172" formatCode="0.0000"/>
    <numFmt numFmtId="173" formatCode="#,##0.000000"/>
    <numFmt numFmtId="174" formatCode="#,##0.0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8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7" fontId="27" fillId="0" borderId="1" applyFont="0" applyFill="0" applyBorder="0" applyAlignment="0" applyProtection="0"/>
    <xf numFmtId="170" fontId="20" fillId="32" borderId="1">
      <protection locked="0"/>
    </xf>
    <xf numFmtId="0" fontId="28" fillId="0" borderId="1" applyFill="0" applyBorder="0" applyProtection="0">
      <alignment vertical="center"/>
    </xf>
    <xf numFmtId="166" fontId="20" fillId="32" borderId="1">
      <protection locked="0"/>
    </xf>
    <xf numFmtId="169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165" fontId="20" fillId="0" borderId="1" applyFont="0" applyFill="0" applyBorder="0" applyAlignment="0" applyProtection="0"/>
    <xf numFmtId="164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165" fontId="42" fillId="0" borderId="0" applyFont="0" applyFill="0" applyBorder="0" applyAlignment="0" applyProtection="0"/>
    <xf numFmtId="0" fontId="41" fillId="0" borderId="1"/>
  </cellStyleXfs>
  <cellXfs count="66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top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6" fontId="2" fillId="0" borderId="15" xfId="0" applyNumberFormat="1" applyFont="1" applyFill="1" applyBorder="1" applyAlignment="1">
      <alignment horizontal="center" vertical="top"/>
    </xf>
    <xf numFmtId="169" fontId="2" fillId="0" borderId="15" xfId="0" applyNumberFormat="1" applyFont="1" applyFill="1" applyBorder="1" applyAlignment="1">
      <alignment horizontal="center" vertical="top"/>
    </xf>
    <xf numFmtId="171" fontId="2" fillId="0" borderId="15" xfId="0" applyNumberFormat="1" applyFont="1" applyFill="1" applyBorder="1" applyAlignment="1">
      <alignment horizontal="center" vertical="top"/>
    </xf>
    <xf numFmtId="172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6" fontId="2" fillId="38" borderId="11" xfId="0" applyNumberFormat="1" applyFont="1" applyFill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166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9" fontId="3" fillId="37" borderId="9" xfId="91" applyNumberFormat="1" applyFont="1" applyFill="1" applyBorder="1" applyAlignment="1">
      <alignment horizontal="center" vertical="top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6" fontId="2" fillId="39" borderId="11" xfId="0" applyNumberFormat="1" applyFont="1" applyFill="1" applyBorder="1" applyAlignment="1">
      <alignment horizontal="center" vertical="center"/>
    </xf>
    <xf numFmtId="3" fontId="3" fillId="37" borderId="9" xfId="91" applyNumberFormat="1" applyFont="1" applyFill="1" applyBorder="1" applyAlignment="1">
      <alignment horizontal="center" vertical="top"/>
    </xf>
    <xf numFmtId="172" fontId="3" fillId="0" borderId="3" xfId="0" applyNumberFormat="1" applyFont="1" applyBorder="1" applyAlignment="1">
      <alignment horizontal="center" vertical="center" wrapText="1"/>
    </xf>
    <xf numFmtId="170" fontId="2" fillId="0" borderId="15" xfId="0" applyNumberFormat="1" applyFont="1" applyFill="1" applyBorder="1" applyAlignment="1">
      <alignment horizontal="center" vertical="top"/>
    </xf>
    <xf numFmtId="4" fontId="38" fillId="0" borderId="28" xfId="46" applyNumberFormat="1" applyFont="1" applyFill="1" applyBorder="1" applyAlignment="1" applyProtection="1">
      <alignment horizontal="right" vertical="center"/>
    </xf>
    <xf numFmtId="3" fontId="44" fillId="0" borderId="0" xfId="0" applyNumberFormat="1" applyFont="1"/>
    <xf numFmtId="3" fontId="3" fillId="0" borderId="8" xfId="0" applyNumberFormat="1" applyFont="1" applyBorder="1" applyAlignment="1">
      <alignment horizontal="center" vertical="top"/>
    </xf>
    <xf numFmtId="3" fontId="44" fillId="0" borderId="15" xfId="0" applyNumberFormat="1" applyFont="1" applyFill="1" applyBorder="1" applyAlignment="1">
      <alignment horizontal="center" vertical="top"/>
    </xf>
    <xf numFmtId="4" fontId="3" fillId="37" borderId="15" xfId="91" applyNumberFormat="1" applyFont="1" applyFill="1" applyBorder="1" applyAlignment="1">
      <alignment horizontal="center" vertical="top"/>
    </xf>
    <xf numFmtId="4" fontId="3" fillId="0" borderId="0" xfId="0" applyNumberFormat="1" applyFont="1" applyAlignment="1"/>
    <xf numFmtId="173" fontId="3" fillId="0" borderId="0" xfId="0" applyNumberFormat="1" applyFont="1"/>
    <xf numFmtId="166" fontId="2" fillId="0" borderId="0" xfId="0" applyNumberFormat="1" applyFont="1"/>
    <xf numFmtId="4" fontId="2" fillId="0" borderId="0" xfId="0" applyNumberFormat="1" applyFont="1" applyAlignment="1"/>
    <xf numFmtId="174" fontId="2" fillId="0" borderId="15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4" fontId="3" fillId="37" borderId="9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topLeftCell="A5" workbookViewId="0">
      <selection activeCell="O42" sqref="O42"/>
    </sheetView>
  </sheetViews>
  <sheetFormatPr defaultRowHeight="12.75"/>
  <cols>
    <col min="1" max="1" width="10.8554687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11.140625" style="1" customWidth="1"/>
    <col min="7" max="7" width="5.42578125" style="1" customWidth="1"/>
    <col min="8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7" width="10.5703125" style="1" customWidth="1"/>
    <col min="18" max="18" width="11.140625" style="1" customWidth="1"/>
    <col min="19" max="19" width="9.140625" style="1"/>
    <col min="20" max="20" width="18.5703125" style="1" customWidth="1"/>
    <col min="21" max="16384" width="9.140625" style="1"/>
  </cols>
  <sheetData>
    <row r="1" spans="1:23" ht="15.75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3" ht="13.5" thickBot="1"/>
    <row r="3" spans="1:23" ht="25.5" customHeight="1" thickBot="1">
      <c r="A3" s="48" t="s">
        <v>11</v>
      </c>
      <c r="B3" s="58" t="s">
        <v>12</v>
      </c>
      <c r="C3" s="59"/>
      <c r="D3" s="60"/>
      <c r="E3" s="58" t="s">
        <v>13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  <c r="R3" s="2" t="s">
        <v>14</v>
      </c>
    </row>
    <row r="4" spans="1:23" ht="42.75" customHeight="1" thickBot="1">
      <c r="A4" s="49"/>
      <c r="B4" s="52" t="s">
        <v>20</v>
      </c>
      <c r="C4" s="52" t="s">
        <v>21</v>
      </c>
      <c r="D4" s="52" t="s">
        <v>15</v>
      </c>
      <c r="E4" s="4" t="s">
        <v>19</v>
      </c>
      <c r="F4" s="61" t="s">
        <v>23</v>
      </c>
      <c r="G4" s="62"/>
      <c r="H4" s="62"/>
      <c r="I4" s="63"/>
      <c r="J4" s="61" t="s">
        <v>28</v>
      </c>
      <c r="K4" s="62"/>
      <c r="L4" s="62"/>
      <c r="M4" s="62"/>
      <c r="N4" s="63"/>
      <c r="O4" s="64" t="s">
        <v>17</v>
      </c>
      <c r="P4" s="52" t="s">
        <v>16</v>
      </c>
      <c r="Q4" s="52" t="s">
        <v>30</v>
      </c>
      <c r="R4" s="52" t="s">
        <v>18</v>
      </c>
    </row>
    <row r="5" spans="1:23" ht="42.75" customHeight="1" thickBot="1">
      <c r="A5" s="50"/>
      <c r="B5" s="53"/>
      <c r="C5" s="53"/>
      <c r="D5" s="53"/>
      <c r="E5" s="13" t="s">
        <v>29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29</v>
      </c>
      <c r="K5" s="13" t="s">
        <v>24</v>
      </c>
      <c r="L5" s="13" t="s">
        <v>25</v>
      </c>
      <c r="M5" s="13" t="s">
        <v>26</v>
      </c>
      <c r="N5" s="13" t="s">
        <v>27</v>
      </c>
      <c r="O5" s="65"/>
      <c r="P5" s="53"/>
      <c r="Q5" s="53"/>
      <c r="R5" s="53"/>
    </row>
    <row r="6" spans="1:23" ht="14.25" customHeight="1" thickBot="1">
      <c r="A6" s="54" t="s">
        <v>0</v>
      </c>
      <c r="B6" s="6">
        <f>B42/12</f>
        <v>300398.41666666669</v>
      </c>
      <c r="C6" s="34">
        <f>C42</f>
        <v>2.86938</v>
      </c>
      <c r="D6" s="46">
        <f>B6*C6</f>
        <v>861957.20881500002</v>
      </c>
      <c r="E6" s="25">
        <v>290218</v>
      </c>
      <c r="F6" s="25">
        <f>SUM(F7:F8)</f>
        <v>285356.84849999996</v>
      </c>
      <c r="G6" s="25">
        <f t="shared" ref="G6:H6" si="0">SUM(G7:G8)</f>
        <v>0</v>
      </c>
      <c r="H6" s="25">
        <f t="shared" si="0"/>
        <v>3055.9955399999999</v>
      </c>
      <c r="I6" s="25">
        <f>SUM(I7:I8)</f>
        <v>1805.155960000011</v>
      </c>
      <c r="J6" s="22">
        <f>SUM(J7:J8)</f>
        <v>0.69899999999999995</v>
      </c>
      <c r="K6" s="24">
        <f t="shared" ref="K6:M6" si="1">SUM(K7:K8)</f>
        <v>0.68730000000000002</v>
      </c>
      <c r="L6" s="33">
        <f t="shared" si="1"/>
        <v>0</v>
      </c>
      <c r="M6" s="24">
        <f t="shared" si="1"/>
        <v>4.5999999999999999E-3</v>
      </c>
      <c r="N6" s="24">
        <f>SUM(N7:N8)</f>
        <v>7.0999999999999432E-3</v>
      </c>
      <c r="O6" s="24">
        <f>P6/E6</f>
        <v>2.8512599838741912</v>
      </c>
      <c r="P6" s="23">
        <f>SUM(P7:P8)</f>
        <v>827486.97</v>
      </c>
      <c r="Q6" s="40">
        <v>776351.69</v>
      </c>
      <c r="R6" s="10">
        <f>D6-P6</f>
        <v>34470.238815000048</v>
      </c>
    </row>
    <row r="7" spans="1:23" ht="13.5" thickBot="1">
      <c r="A7" s="55"/>
      <c r="B7" s="6"/>
      <c r="C7" s="34">
        <f>C6</f>
        <v>2.86938</v>
      </c>
      <c r="D7" s="46">
        <f t="shared" ref="D7:D41" si="2">B7*C7</f>
        <v>0</v>
      </c>
      <c r="E7" s="26">
        <f>E6-E8</f>
        <v>-10182</v>
      </c>
      <c r="F7" s="28">
        <f>E7*0.98325</f>
        <v>-10011.451499999999</v>
      </c>
      <c r="G7" s="28"/>
      <c r="H7" s="28">
        <f>E7*0.01053</f>
        <v>-107.21646</v>
      </c>
      <c r="I7" s="28">
        <f>E7-F7-H7</f>
        <v>-63.332040000000788</v>
      </c>
      <c r="J7" s="15">
        <v>-2.5000000000000001E-2</v>
      </c>
      <c r="K7" s="16">
        <v>-2.41E-2</v>
      </c>
      <c r="L7" s="28"/>
      <c r="M7" s="16">
        <v>-3.0000000000000001E-3</v>
      </c>
      <c r="N7" s="16">
        <f>J7-K7-M7</f>
        <v>2.0999999999999986E-3</v>
      </c>
      <c r="O7" s="9">
        <f t="shared" ref="O7:O41" si="3">P7/E7</f>
        <v>0</v>
      </c>
      <c r="P7" s="29"/>
      <c r="Q7" s="30"/>
      <c r="R7" s="10"/>
    </row>
    <row r="8" spans="1:23" ht="13.5" thickBot="1">
      <c r="A8" s="56"/>
      <c r="B8" s="7"/>
      <c r="C8" s="34">
        <f t="shared" ref="C8:C41" si="4">C7</f>
        <v>2.86938</v>
      </c>
      <c r="D8" s="46">
        <f t="shared" si="2"/>
        <v>0</v>
      </c>
      <c r="E8" s="27">
        <v>300400</v>
      </c>
      <c r="F8" s="28">
        <f>E8*0.98325</f>
        <v>295368.3</v>
      </c>
      <c r="G8" s="28"/>
      <c r="H8" s="28">
        <f>E8*0.01053</f>
        <v>3163.212</v>
      </c>
      <c r="I8" s="28">
        <f>E8-F8-H8</f>
        <v>1868.4880000000117</v>
      </c>
      <c r="J8" s="15">
        <v>0.72399999999999998</v>
      </c>
      <c r="K8" s="16">
        <v>0.71140000000000003</v>
      </c>
      <c r="L8" s="28"/>
      <c r="M8" s="16">
        <v>7.6E-3</v>
      </c>
      <c r="N8" s="16">
        <f>J8-K8-M8</f>
        <v>4.9999999999999446E-3</v>
      </c>
      <c r="O8" s="9">
        <f t="shared" si="3"/>
        <v>2.7546170772303595</v>
      </c>
      <c r="P8" s="30">
        <v>827486.97</v>
      </c>
      <c r="Q8" s="30"/>
      <c r="R8" s="21"/>
    </row>
    <row r="9" spans="1:23" ht="13.5" thickBot="1">
      <c r="A9" s="54" t="s">
        <v>1</v>
      </c>
      <c r="B9" s="6">
        <f>B6</f>
        <v>300398.41666666669</v>
      </c>
      <c r="C9" s="34">
        <f t="shared" si="4"/>
        <v>2.86938</v>
      </c>
      <c r="D9" s="46">
        <f>B9*C9</f>
        <v>861957.20881500002</v>
      </c>
      <c r="E9" s="25">
        <v>272929</v>
      </c>
      <c r="F9" s="25">
        <f>SUM(F10:F11)</f>
        <v>268944.23660000006</v>
      </c>
      <c r="G9" s="25">
        <f t="shared" ref="G9:I9" si="5">SUM(G10:G11)</f>
        <v>0</v>
      </c>
      <c r="H9" s="25">
        <f t="shared" si="5"/>
        <v>2559.38481</v>
      </c>
      <c r="I9" s="25">
        <f t="shared" si="5"/>
        <v>1425.3785899999673</v>
      </c>
      <c r="J9" s="22">
        <f>SUM(J10:J11)</f>
        <v>0.62599999999999989</v>
      </c>
      <c r="K9" s="22">
        <f t="shared" ref="K9:N9" si="6">SUM(K10:K11)</f>
        <v>0.6160000000000001</v>
      </c>
      <c r="L9" s="25">
        <f t="shared" si="6"/>
        <v>0</v>
      </c>
      <c r="M9" s="22">
        <f t="shared" si="6"/>
        <v>5.7000000000000002E-3</v>
      </c>
      <c r="N9" s="22">
        <f t="shared" si="6"/>
        <v>4.2999999999998977E-3</v>
      </c>
      <c r="O9" s="24">
        <f>P9/E9</f>
        <v>3.1736700020884552</v>
      </c>
      <c r="P9" s="23">
        <f>SUM(P10:P11)</f>
        <v>866186.58</v>
      </c>
      <c r="Q9" s="40">
        <v>816419.5</v>
      </c>
      <c r="R9" s="10">
        <f>D9-P9</f>
        <v>-4229.3711849999381</v>
      </c>
      <c r="T9" s="31"/>
      <c r="W9" s="31"/>
    </row>
    <row r="10" spans="1:23" ht="13.5" thickBot="1">
      <c r="A10" s="55"/>
      <c r="B10" s="6"/>
      <c r="C10" s="34">
        <f t="shared" si="4"/>
        <v>2.86938</v>
      </c>
      <c r="D10" s="46">
        <f>B10*C10</f>
        <v>0</v>
      </c>
      <c r="E10" s="26">
        <f>E9-E11</f>
        <v>-27471</v>
      </c>
      <c r="F10" s="28">
        <f>E10*0.9854</f>
        <v>-27069.9234</v>
      </c>
      <c r="G10" s="14"/>
      <c r="H10" s="28">
        <f>E10*0.00689</f>
        <v>-189.27519000000001</v>
      </c>
      <c r="I10" s="28">
        <f>E10-F10-H10</f>
        <v>-211.80141000000032</v>
      </c>
      <c r="J10" s="17">
        <v>-6.3E-2</v>
      </c>
      <c r="K10" s="18">
        <v>-6.2E-2</v>
      </c>
      <c r="L10" s="28"/>
      <c r="M10" s="16">
        <v>-5.9999999999999995E-4</v>
      </c>
      <c r="N10" s="16">
        <f>J10-K10-M10</f>
        <v>-4.0000000000000094E-4</v>
      </c>
      <c r="O10" s="9">
        <f>P10/E10</f>
        <v>0</v>
      </c>
      <c r="P10" s="29"/>
      <c r="Q10" s="30"/>
      <c r="R10" s="10"/>
      <c r="T10" s="42"/>
    </row>
    <row r="11" spans="1:23" ht="13.5" thickBot="1">
      <c r="A11" s="56"/>
      <c r="B11" s="7"/>
      <c r="C11" s="34">
        <f t="shared" si="4"/>
        <v>2.86938</v>
      </c>
      <c r="D11" s="46">
        <f t="shared" si="2"/>
        <v>0</v>
      </c>
      <c r="E11" s="27">
        <v>300400</v>
      </c>
      <c r="F11" s="28">
        <f>E11*0.9854</f>
        <v>296014.16000000003</v>
      </c>
      <c r="G11" s="14"/>
      <c r="H11" s="28">
        <f>E11*0.00915</f>
        <v>2748.66</v>
      </c>
      <c r="I11" s="28">
        <f t="shared" ref="I11:I41" si="7">E11-F11-H11</f>
        <v>1637.1799999999675</v>
      </c>
      <c r="J11" s="17">
        <v>0.68899999999999995</v>
      </c>
      <c r="K11" s="18">
        <v>0.67800000000000005</v>
      </c>
      <c r="L11" s="28"/>
      <c r="M11" s="16">
        <v>6.3E-3</v>
      </c>
      <c r="N11" s="16">
        <f>J11-K11-M11</f>
        <v>4.6999999999998987E-3</v>
      </c>
      <c r="O11" s="9">
        <f>P11/E11</f>
        <v>2.8834440079893473</v>
      </c>
      <c r="P11" s="30">
        <v>866186.58</v>
      </c>
      <c r="Q11" s="30"/>
      <c r="R11" s="21"/>
      <c r="T11" s="11"/>
    </row>
    <row r="12" spans="1:23" ht="13.5" thickBot="1">
      <c r="A12" s="48" t="s">
        <v>2</v>
      </c>
      <c r="B12" s="6">
        <f>B6</f>
        <v>300398.41666666669</v>
      </c>
      <c r="C12" s="34">
        <f t="shared" si="4"/>
        <v>2.86938</v>
      </c>
      <c r="D12" s="46">
        <f t="shared" si="2"/>
        <v>861957.20881500002</v>
      </c>
      <c r="E12" s="25">
        <v>298972</v>
      </c>
      <c r="F12" s="25">
        <f>SUM(F13:F14)</f>
        <v>295249.79860000004</v>
      </c>
      <c r="G12" s="25">
        <f t="shared" ref="G12:I12" si="8">SUM(G13:G14)</f>
        <v>0</v>
      </c>
      <c r="H12" s="25">
        <f t="shared" si="8"/>
        <v>2642.91248</v>
      </c>
      <c r="I12" s="25">
        <f t="shared" si="8"/>
        <v>1079.2889199999815</v>
      </c>
      <c r="J12" s="22">
        <f>SUM(J13:J14)</f>
        <v>0.59399999999999997</v>
      </c>
      <c r="K12" s="24">
        <f t="shared" ref="K12:M12" si="9">SUM(K13:K14)</f>
        <v>0.58639999999999992</v>
      </c>
      <c r="L12" s="33">
        <f t="shared" si="9"/>
        <v>0</v>
      </c>
      <c r="M12" s="24">
        <f t="shared" si="9"/>
        <v>8.8100000000000001E-3</v>
      </c>
      <c r="N12" s="24">
        <f>SUM(N13:N14)</f>
        <v>-1.2099999999999715E-3</v>
      </c>
      <c r="O12" s="24">
        <f>P12/E12</f>
        <v>2.872093272948637</v>
      </c>
      <c r="P12" s="23">
        <f>SUM(P13:P14)</f>
        <v>858675.47</v>
      </c>
      <c r="Q12" s="40">
        <v>941775.11</v>
      </c>
      <c r="R12" s="10">
        <f>D12-P12</f>
        <v>3281.7388150000479</v>
      </c>
      <c r="T12" s="31"/>
    </row>
    <row r="13" spans="1:23" ht="13.5" thickBot="1">
      <c r="A13" s="49"/>
      <c r="B13" s="7"/>
      <c r="C13" s="34">
        <f t="shared" si="4"/>
        <v>2.86938</v>
      </c>
      <c r="D13" s="46">
        <f t="shared" si="2"/>
        <v>0</v>
      </c>
      <c r="E13" s="26">
        <f>E12-E14</f>
        <v>-1428</v>
      </c>
      <c r="F13" s="28">
        <f>E13*0.98755</f>
        <v>-1410.2214000000001</v>
      </c>
      <c r="G13" s="14"/>
      <c r="H13" s="28">
        <f>E13*0.00884</f>
        <v>-12.623520000000001</v>
      </c>
      <c r="I13" s="28">
        <f>E13-F13-H13</f>
        <v>-5.1550799999998684</v>
      </c>
      <c r="J13" s="15">
        <v>-3.0000000000000001E-3</v>
      </c>
      <c r="K13" s="16">
        <v>-2.8E-3</v>
      </c>
      <c r="L13" s="28"/>
      <c r="M13" s="16">
        <v>-3.0000000000000001E-5</v>
      </c>
      <c r="N13" s="16">
        <f>J13-K13-M13</f>
        <v>-1.7000000000000009E-4</v>
      </c>
      <c r="O13" s="9">
        <f>P13/E13</f>
        <v>0</v>
      </c>
      <c r="P13" s="30"/>
      <c r="Q13" s="30"/>
      <c r="R13" s="21"/>
      <c r="T13" s="42"/>
    </row>
    <row r="14" spans="1:23" ht="13.5" thickBot="1">
      <c r="A14" s="50"/>
      <c r="B14" s="7"/>
      <c r="C14" s="34">
        <f t="shared" si="4"/>
        <v>2.86938</v>
      </c>
      <c r="D14" s="46">
        <f t="shared" si="2"/>
        <v>0</v>
      </c>
      <c r="E14" s="27">
        <v>300400</v>
      </c>
      <c r="F14" s="28">
        <f>E14*0.98755</f>
        <v>296660.02</v>
      </c>
      <c r="G14" s="14"/>
      <c r="H14" s="28">
        <f>E14*0.00884</f>
        <v>2655.5360000000001</v>
      </c>
      <c r="I14" s="28">
        <f>E14-F14-H14</f>
        <v>1084.4439999999813</v>
      </c>
      <c r="J14" s="15">
        <v>0.59699999999999998</v>
      </c>
      <c r="K14" s="16">
        <v>0.58919999999999995</v>
      </c>
      <c r="L14" s="28"/>
      <c r="M14" s="16">
        <v>8.8400000000000006E-3</v>
      </c>
      <c r="N14" s="16">
        <f>J14-K14-M14</f>
        <v>-1.0399999999999715E-3</v>
      </c>
      <c r="O14" s="9">
        <f t="shared" si="3"/>
        <v>2.8584403129161116</v>
      </c>
      <c r="P14" s="30">
        <v>858675.47</v>
      </c>
      <c r="Q14" s="30"/>
      <c r="R14" s="21"/>
    </row>
    <row r="15" spans="1:23" ht="13.5" thickBot="1">
      <c r="A15" s="48" t="s">
        <v>3</v>
      </c>
      <c r="B15" s="6">
        <f>B12</f>
        <v>300398.41666666669</v>
      </c>
      <c r="C15" s="34">
        <f t="shared" si="4"/>
        <v>2.86938</v>
      </c>
      <c r="D15" s="46">
        <f t="shared" si="2"/>
        <v>861957.20881500002</v>
      </c>
      <c r="E15" s="25">
        <v>267233</v>
      </c>
      <c r="F15" s="25">
        <f>SUM(F16:F17)</f>
        <v>263179.07538999995</v>
      </c>
      <c r="G15" s="25">
        <f t="shared" ref="G15:I15" si="10">SUM(G16:G17)</f>
        <v>0</v>
      </c>
      <c r="H15" s="25">
        <f t="shared" si="10"/>
        <v>2319.5824400000001</v>
      </c>
      <c r="I15" s="25">
        <f t="shared" si="10"/>
        <v>1734.3421700000272</v>
      </c>
      <c r="J15" s="22">
        <f>SUM(J16:J17)</f>
        <v>0.58300000000000007</v>
      </c>
      <c r="K15" s="24">
        <f t="shared" ref="K15:M15" si="11">SUM(K16:K17)</f>
        <v>0.57540000000000002</v>
      </c>
      <c r="L15" s="33">
        <f t="shared" si="11"/>
        <v>0</v>
      </c>
      <c r="M15" s="24">
        <f t="shared" si="11"/>
        <v>5.0699999999999999E-3</v>
      </c>
      <c r="N15" s="24">
        <f>SUM(N16:N17)</f>
        <v>5.1000000000000004E-3</v>
      </c>
      <c r="O15" s="24">
        <f>P15/E15</f>
        <v>2.9701700014594006</v>
      </c>
      <c r="P15" s="23">
        <f>SUM(P16:P17)</f>
        <v>793727.44</v>
      </c>
      <c r="Q15" s="40">
        <v>858675.47</v>
      </c>
      <c r="R15" s="10">
        <f>D15-P15</f>
        <v>68229.768815000076</v>
      </c>
    </row>
    <row r="16" spans="1:23" ht="13.5" thickBot="1">
      <c r="A16" s="49"/>
      <c r="B16" s="7"/>
      <c r="C16" s="34">
        <f t="shared" si="4"/>
        <v>2.86938</v>
      </c>
      <c r="D16" s="46">
        <f t="shared" si="2"/>
        <v>0</v>
      </c>
      <c r="E16" s="26">
        <f>E15-E17</f>
        <v>-33167</v>
      </c>
      <c r="F16" s="28">
        <f>E16*0.98483</f>
        <v>-32663.856609999999</v>
      </c>
      <c r="G16" s="14"/>
      <c r="H16" s="35">
        <f>E16*0.00868</f>
        <v>-287.88956000000002</v>
      </c>
      <c r="I16" s="35">
        <f>E16-F16-H16</f>
        <v>-215.25383000000107</v>
      </c>
      <c r="J16" s="15">
        <v>-7.1999999999999995E-2</v>
      </c>
      <c r="K16" s="16">
        <v>-7.1400000000000005E-2</v>
      </c>
      <c r="L16" s="28"/>
      <c r="M16" s="16">
        <v>-6.3000000000000003E-4</v>
      </c>
      <c r="N16" s="16">
        <v>1.1000000000000001E-3</v>
      </c>
      <c r="O16" s="9">
        <f t="shared" si="3"/>
        <v>0</v>
      </c>
      <c r="P16" s="30"/>
      <c r="Q16" s="30"/>
      <c r="R16" s="21"/>
      <c r="T16" s="31"/>
    </row>
    <row r="17" spans="1:20" ht="13.5" thickBot="1">
      <c r="A17" s="50"/>
      <c r="B17" s="7"/>
      <c r="C17" s="34">
        <f t="shared" si="4"/>
        <v>2.86938</v>
      </c>
      <c r="D17" s="46">
        <f t="shared" si="2"/>
        <v>0</v>
      </c>
      <c r="E17" s="27">
        <v>300400</v>
      </c>
      <c r="F17" s="28">
        <f>E17*0.98483</f>
        <v>295842.93199999997</v>
      </c>
      <c r="G17" s="14"/>
      <c r="H17" s="28">
        <f>E17*0.00868</f>
        <v>2607.4720000000002</v>
      </c>
      <c r="I17" s="28">
        <f t="shared" si="7"/>
        <v>1949.5960000000282</v>
      </c>
      <c r="J17" s="15">
        <v>0.65500000000000003</v>
      </c>
      <c r="K17" s="16">
        <v>0.64680000000000004</v>
      </c>
      <c r="L17" s="28"/>
      <c r="M17" s="16">
        <v>5.7000000000000002E-3</v>
      </c>
      <c r="N17" s="16">
        <v>4.0000000000000001E-3</v>
      </c>
      <c r="O17" s="9">
        <f>P17/E17</f>
        <v>2.6422351531291608</v>
      </c>
      <c r="P17" s="30">
        <v>793727.44</v>
      </c>
      <c r="Q17" s="30"/>
      <c r="R17" s="21"/>
    </row>
    <row r="18" spans="1:20" ht="13.5" thickBot="1">
      <c r="A18" s="48" t="s">
        <v>4</v>
      </c>
      <c r="B18" s="6">
        <f>B15</f>
        <v>300398.41666666669</v>
      </c>
      <c r="C18" s="34">
        <f t="shared" si="4"/>
        <v>2.86938</v>
      </c>
      <c r="D18" s="46">
        <f t="shared" si="2"/>
        <v>861957.20881500002</v>
      </c>
      <c r="E18" s="25">
        <v>263521</v>
      </c>
      <c r="F18" s="25">
        <f>SUM(F19:F20)</f>
        <v>260722.40698000003</v>
      </c>
      <c r="G18" s="25">
        <f t="shared" ref="G18:I18" si="12">SUM(G19:G20)</f>
        <v>0</v>
      </c>
      <c r="H18" s="25">
        <f t="shared" si="12"/>
        <v>2029.1116999999999</v>
      </c>
      <c r="I18" s="25">
        <f t="shared" si="12"/>
        <v>769.48131999996394</v>
      </c>
      <c r="J18" s="22">
        <f>SUM(J19:J20)</f>
        <v>0.68600000000000005</v>
      </c>
      <c r="K18" s="24">
        <f t="shared" ref="K18:M18" si="13">SUM(K19:K20)</f>
        <v>0.67599999999999993</v>
      </c>
      <c r="L18" s="33">
        <f t="shared" si="13"/>
        <v>0</v>
      </c>
      <c r="M18" s="24">
        <f t="shared" si="13"/>
        <v>6.7600000000000004E-3</v>
      </c>
      <c r="N18" s="24">
        <f>SUM(N19:N20)</f>
        <v>3.2400000000000779E-3</v>
      </c>
      <c r="O18" s="24">
        <f>P18/E18</f>
        <v>2.8168799829994575</v>
      </c>
      <c r="P18" s="23">
        <f>SUM(P19:P20)</f>
        <v>742307.03</v>
      </c>
      <c r="Q18" s="40">
        <v>717931.34</v>
      </c>
      <c r="R18" s="10">
        <f>D18-P18</f>
        <v>119650.17881499999</v>
      </c>
      <c r="T18" s="11"/>
    </row>
    <row r="19" spans="1:20" ht="13.5" thickBot="1">
      <c r="A19" s="49"/>
      <c r="B19" s="7"/>
      <c r="C19" s="34">
        <f t="shared" si="4"/>
        <v>2.86938</v>
      </c>
      <c r="D19" s="46">
        <f t="shared" si="2"/>
        <v>0</v>
      </c>
      <c r="E19" s="27">
        <f>E18-E20</f>
        <v>-36879</v>
      </c>
      <c r="F19" s="28">
        <f>E19*0.98938</f>
        <v>-36487.345020000001</v>
      </c>
      <c r="G19" s="14"/>
      <c r="H19" s="35">
        <f>E19*0.0077</f>
        <v>-283.9683</v>
      </c>
      <c r="I19" s="28">
        <f>E19-F19-H19</f>
        <v>-107.68667999999934</v>
      </c>
      <c r="J19" s="15">
        <v>-9.6000000000000002E-2</v>
      </c>
      <c r="K19" s="16">
        <v>-9.4600000000000004E-2</v>
      </c>
      <c r="L19" s="28"/>
      <c r="M19" s="16">
        <v>-9.3999999999999997E-4</v>
      </c>
      <c r="N19" s="16">
        <f t="shared" ref="N19:N26" si="14">J19-K19-M19</f>
        <v>-4.599999999999985E-4</v>
      </c>
      <c r="O19" s="9">
        <f t="shared" si="3"/>
        <v>0</v>
      </c>
      <c r="P19" s="30"/>
      <c r="Q19" s="30"/>
      <c r="R19" s="21"/>
    </row>
    <row r="20" spans="1:20" ht="13.5" thickBot="1">
      <c r="A20" s="50"/>
      <c r="B20" s="7"/>
      <c r="C20" s="34">
        <f t="shared" si="4"/>
        <v>2.86938</v>
      </c>
      <c r="D20" s="46">
        <f t="shared" si="2"/>
        <v>0</v>
      </c>
      <c r="E20" s="27">
        <v>300400</v>
      </c>
      <c r="F20" s="28">
        <f>E20*0.98938</f>
        <v>297209.75200000004</v>
      </c>
      <c r="G20" s="14"/>
      <c r="H20" s="28">
        <f>E20*0.0077</f>
        <v>2313.08</v>
      </c>
      <c r="I20" s="28">
        <f t="shared" si="7"/>
        <v>877.16799999996329</v>
      </c>
      <c r="J20" s="15">
        <v>0.78200000000000003</v>
      </c>
      <c r="K20" s="16">
        <v>0.77059999999999995</v>
      </c>
      <c r="L20" s="28"/>
      <c r="M20" s="16">
        <v>7.7000000000000002E-3</v>
      </c>
      <c r="N20" s="16">
        <f t="shared" si="14"/>
        <v>3.7000000000000765E-3</v>
      </c>
      <c r="O20" s="9">
        <f t="shared" si="3"/>
        <v>2.4710620173102531</v>
      </c>
      <c r="P20" s="30">
        <v>742307.03</v>
      </c>
      <c r="Q20" s="30"/>
      <c r="R20" s="21"/>
      <c r="T20" s="31"/>
    </row>
    <row r="21" spans="1:20" ht="13.5" thickBot="1">
      <c r="A21" s="48" t="s">
        <v>5</v>
      </c>
      <c r="B21" s="7">
        <f>B18</f>
        <v>300398.41666666669</v>
      </c>
      <c r="C21" s="34">
        <f t="shared" si="4"/>
        <v>2.86938</v>
      </c>
      <c r="D21" s="46">
        <f t="shared" si="2"/>
        <v>861957.20881500002</v>
      </c>
      <c r="E21" s="25">
        <v>249994</v>
      </c>
      <c r="F21" s="25">
        <f>SUM(F22:F23)</f>
        <v>246246.58994000001</v>
      </c>
      <c r="G21" s="25">
        <f t="shared" ref="G21:I21" si="15">SUM(G22:G23)</f>
        <v>0</v>
      </c>
      <c r="H21" s="25">
        <f t="shared" si="15"/>
        <v>2564.9384399999999</v>
      </c>
      <c r="I21" s="25">
        <f t="shared" si="15"/>
        <v>1182.4716199999875</v>
      </c>
      <c r="J21" s="22">
        <f>SUM(J22:J23)</f>
        <v>0.73899999999999999</v>
      </c>
      <c r="K21" s="24">
        <f t="shared" ref="K21:M21" si="16">SUM(K22:K23)</f>
        <v>0.72829999999999995</v>
      </c>
      <c r="L21" s="33">
        <f t="shared" si="16"/>
        <v>0</v>
      </c>
      <c r="M21" s="24">
        <f t="shared" si="16"/>
        <v>7.5700000000000003E-3</v>
      </c>
      <c r="N21" s="24">
        <f>SUM(N22:N23)</f>
        <v>3.1300000000000425E-3</v>
      </c>
      <c r="O21" s="24">
        <f>P21/E21</f>
        <v>3.0738300119202862</v>
      </c>
      <c r="P21" s="23">
        <f>SUM(P22:P23)</f>
        <v>768439.06</v>
      </c>
      <c r="Q21" s="40">
        <v>631998.46</v>
      </c>
      <c r="R21" s="10">
        <f>D21-P21</f>
        <v>93518.148814999964</v>
      </c>
    </row>
    <row r="22" spans="1:20" ht="13.5" thickBot="1">
      <c r="A22" s="49"/>
      <c r="B22" s="7"/>
      <c r="C22" s="34">
        <f t="shared" si="4"/>
        <v>2.86938</v>
      </c>
      <c r="D22" s="46">
        <f t="shared" si="2"/>
        <v>0</v>
      </c>
      <c r="E22" s="27">
        <f>E21-E23</f>
        <v>-50406</v>
      </c>
      <c r="F22" s="28">
        <f>E22*0.98501</f>
        <v>-49650.414060000003</v>
      </c>
      <c r="G22" s="14"/>
      <c r="H22" s="35">
        <f>E22*0.01026</f>
        <v>-517.16556000000003</v>
      </c>
      <c r="I22" s="28">
        <f>E22-F22-H22</f>
        <v>-238.42037999999718</v>
      </c>
      <c r="J22" s="15">
        <v>-0.14899999999999999</v>
      </c>
      <c r="K22" s="16">
        <v>-0.14680000000000001</v>
      </c>
      <c r="L22" s="28"/>
      <c r="M22" s="16">
        <v>-1.5299999999999999E-3</v>
      </c>
      <c r="N22" s="16">
        <f t="shared" si="14"/>
        <v>-6.6999999999997986E-4</v>
      </c>
      <c r="O22" s="9">
        <f t="shared" si="3"/>
        <v>0</v>
      </c>
      <c r="P22" s="30"/>
      <c r="Q22" s="30"/>
      <c r="R22" s="21"/>
      <c r="T22" s="11"/>
    </row>
    <row r="23" spans="1:20" ht="13.5" thickBot="1">
      <c r="A23" s="50"/>
      <c r="B23" s="6"/>
      <c r="C23" s="34">
        <f t="shared" si="4"/>
        <v>2.86938</v>
      </c>
      <c r="D23" s="46">
        <f t="shared" si="2"/>
        <v>0</v>
      </c>
      <c r="E23" s="27">
        <v>300400</v>
      </c>
      <c r="F23" s="28">
        <f>E23*0.98501</f>
        <v>295897.00400000002</v>
      </c>
      <c r="G23" s="14"/>
      <c r="H23" s="28">
        <f>E23*0.01026</f>
        <v>3082.1039999999998</v>
      </c>
      <c r="I23" s="28">
        <f t="shared" si="7"/>
        <v>1420.8919999999848</v>
      </c>
      <c r="J23" s="15">
        <v>0.88800000000000001</v>
      </c>
      <c r="K23" s="16">
        <v>0.87509999999999999</v>
      </c>
      <c r="L23" s="28"/>
      <c r="M23" s="16">
        <v>9.1000000000000004E-3</v>
      </c>
      <c r="N23" s="16">
        <f t="shared" si="14"/>
        <v>3.8000000000000221E-3</v>
      </c>
      <c r="O23" s="9">
        <f t="shared" si="3"/>
        <v>2.558052796271638</v>
      </c>
      <c r="P23" s="29">
        <v>768439.06</v>
      </c>
      <c r="Q23" s="30"/>
      <c r="R23" s="10"/>
    </row>
    <row r="24" spans="1:20" ht="13.5" thickBot="1">
      <c r="A24" s="48" t="s">
        <v>22</v>
      </c>
      <c r="B24" s="6">
        <f>B21</f>
        <v>300398.41666666669</v>
      </c>
      <c r="C24" s="34">
        <f t="shared" si="4"/>
        <v>2.86938</v>
      </c>
      <c r="D24" s="46">
        <f t="shared" si="2"/>
        <v>861957.20881500002</v>
      </c>
      <c r="E24" s="25">
        <v>263710</v>
      </c>
      <c r="F24" s="47">
        <f>SUM(F25:F26)</f>
        <v>260018.06000000003</v>
      </c>
      <c r="G24" s="25">
        <f t="shared" ref="G24:I24" si="17">SUM(G25:G26)</f>
        <v>0</v>
      </c>
      <c r="H24" s="47">
        <f t="shared" si="17"/>
        <v>2605.4547999999995</v>
      </c>
      <c r="I24" s="47">
        <f t="shared" si="17"/>
        <v>1086.4851999999735</v>
      </c>
      <c r="J24" s="22">
        <f>SUM(J25:J26)</f>
        <v>0.755</v>
      </c>
      <c r="K24" s="24">
        <f t="shared" ref="K24:M24" si="18">SUM(K25:K26)</f>
        <v>0.74439999999999995</v>
      </c>
      <c r="L24" s="33">
        <f t="shared" si="18"/>
        <v>0</v>
      </c>
      <c r="M24" s="24">
        <f t="shared" si="18"/>
        <v>7.4600000000000005E-3</v>
      </c>
      <c r="N24" s="24">
        <f>SUM(N25:N26)</f>
        <v>3.1400000000000117E-3</v>
      </c>
      <c r="O24" s="24">
        <f>P24/E24</f>
        <v>3.1426799893822759</v>
      </c>
      <c r="P24" s="23">
        <f>SUM(P25:P26)</f>
        <v>828756.14</v>
      </c>
      <c r="Q24" s="40">
        <v>652716.79</v>
      </c>
      <c r="R24" s="10">
        <f>D24-P24</f>
        <v>33201.068815000006</v>
      </c>
      <c r="T24" s="31"/>
    </row>
    <row r="25" spans="1:20" ht="13.5" thickBot="1">
      <c r="A25" s="49"/>
      <c r="B25" s="7"/>
      <c r="C25" s="34">
        <f t="shared" si="4"/>
        <v>2.86938</v>
      </c>
      <c r="D25" s="46">
        <f t="shared" si="2"/>
        <v>0</v>
      </c>
      <c r="E25" s="27">
        <f>E24-E26</f>
        <v>-36690</v>
      </c>
      <c r="F25" s="28">
        <f>E25*0.986</f>
        <v>-36176.339999999997</v>
      </c>
      <c r="G25" s="14"/>
      <c r="H25" s="35">
        <f>E25*0.00988</f>
        <v>-362.49720000000002</v>
      </c>
      <c r="I25" s="28">
        <f>E25-F25-H25</f>
        <v>-151.16280000000347</v>
      </c>
      <c r="J25" s="15">
        <v>-0.105</v>
      </c>
      <c r="K25" s="16">
        <v>-0.1036</v>
      </c>
      <c r="L25" s="28"/>
      <c r="M25" s="16">
        <v>-1.0399999999999999E-3</v>
      </c>
      <c r="N25" s="16">
        <f>J25-K25-M25</f>
        <v>-3.5999999999999856E-4</v>
      </c>
      <c r="O25" s="9">
        <f t="shared" si="3"/>
        <v>0</v>
      </c>
      <c r="P25" s="30"/>
      <c r="Q25" s="30"/>
      <c r="R25" s="21"/>
      <c r="T25" s="11"/>
    </row>
    <row r="26" spans="1:20" ht="13.5" thickBot="1">
      <c r="A26" s="50"/>
      <c r="B26" s="7"/>
      <c r="C26" s="34">
        <f t="shared" si="4"/>
        <v>2.86938</v>
      </c>
      <c r="D26" s="46">
        <f t="shared" si="2"/>
        <v>0</v>
      </c>
      <c r="E26" s="27">
        <v>300400</v>
      </c>
      <c r="F26" s="28">
        <f>E26*0.986</f>
        <v>296194.40000000002</v>
      </c>
      <c r="G26" s="14"/>
      <c r="H26" s="28">
        <f>E26*0.00988</f>
        <v>2967.9519999999998</v>
      </c>
      <c r="I26" s="28">
        <f t="shared" si="7"/>
        <v>1237.6479999999769</v>
      </c>
      <c r="J26" s="15">
        <v>0.86</v>
      </c>
      <c r="K26" s="16">
        <v>0.84799999999999998</v>
      </c>
      <c r="L26" s="28"/>
      <c r="M26" s="16">
        <v>8.5000000000000006E-3</v>
      </c>
      <c r="N26" s="16">
        <f t="shared" si="14"/>
        <v>3.50000000000001E-3</v>
      </c>
      <c r="O26" s="9">
        <f t="shared" si="3"/>
        <v>2.7588420106524634</v>
      </c>
      <c r="P26" s="30">
        <v>828756.14</v>
      </c>
      <c r="Q26" s="30"/>
      <c r="R26" s="21"/>
    </row>
    <row r="27" spans="1:20" ht="13.5" thickBot="1">
      <c r="A27" s="48" t="s">
        <v>6</v>
      </c>
      <c r="B27" s="6">
        <f>B24</f>
        <v>300398.41666666669</v>
      </c>
      <c r="C27" s="34">
        <f t="shared" si="4"/>
        <v>2.86938</v>
      </c>
      <c r="D27" s="46">
        <f t="shared" si="2"/>
        <v>861957.20881500002</v>
      </c>
      <c r="E27" s="25">
        <v>256544</v>
      </c>
      <c r="F27" s="25">
        <f>SUM(F28:F29)</f>
        <v>252785.63039999997</v>
      </c>
      <c r="G27" s="25">
        <f t="shared" ref="G27:I27" si="19">SUM(G28:G29)</f>
        <v>0</v>
      </c>
      <c r="H27" s="25">
        <f t="shared" si="19"/>
        <v>2721.9318399999997</v>
      </c>
      <c r="I27" s="25">
        <f t="shared" si="19"/>
        <v>1036.4377600000421</v>
      </c>
      <c r="J27" s="22">
        <f>SUM(J28:J29)</f>
        <v>0.67700000000000005</v>
      </c>
      <c r="K27" s="24">
        <f t="shared" ref="K27:M27" si="20">SUM(K28:K29)</f>
        <v>0.67030000000000001</v>
      </c>
      <c r="L27" s="33">
        <f t="shared" si="20"/>
        <v>0</v>
      </c>
      <c r="M27" s="24">
        <f t="shared" si="20"/>
        <v>4.1999999999999997E-3</v>
      </c>
      <c r="N27" s="24">
        <f>SUM(N28:N29)</f>
        <v>2.5000000000000673E-3</v>
      </c>
      <c r="O27" s="24">
        <f>P27/E27</f>
        <v>3.1085400165273795</v>
      </c>
      <c r="P27" s="23">
        <f>SUM(P28:P29)</f>
        <v>797477.29</v>
      </c>
      <c r="Q27" s="40">
        <v>635242.87</v>
      </c>
      <c r="R27" s="10">
        <f>D27-P27</f>
        <v>64479.918814999983</v>
      </c>
    </row>
    <row r="28" spans="1:20" ht="13.5" thickBot="1">
      <c r="A28" s="49"/>
      <c r="B28" s="7"/>
      <c r="C28" s="34">
        <f t="shared" si="4"/>
        <v>2.86938</v>
      </c>
      <c r="D28" s="46">
        <f t="shared" si="2"/>
        <v>0</v>
      </c>
      <c r="E28" s="27">
        <f>E27-E29</f>
        <v>-43856</v>
      </c>
      <c r="F28" s="14">
        <f>E28*0.98535</f>
        <v>-43213.509599999998</v>
      </c>
      <c r="G28" s="14"/>
      <c r="H28" s="14">
        <f>E28*0.01061</f>
        <v>-465.31216000000001</v>
      </c>
      <c r="I28" s="14">
        <f>E28-F28-H28</f>
        <v>-177.1782400000024</v>
      </c>
      <c r="J28" s="15">
        <v>0.55300000000000005</v>
      </c>
      <c r="K28" s="16">
        <v>0.54759999999999998</v>
      </c>
      <c r="L28" s="28"/>
      <c r="M28" s="16">
        <v>3.3999999999999998E-3</v>
      </c>
      <c r="N28" s="16">
        <f>J28-K28-M28</f>
        <v>2.0000000000000716E-3</v>
      </c>
      <c r="O28" s="9">
        <f t="shared" si="3"/>
        <v>0</v>
      </c>
      <c r="P28" s="30"/>
      <c r="Q28" s="30"/>
      <c r="R28" s="21"/>
    </row>
    <row r="29" spans="1:20" ht="13.5" thickBot="1">
      <c r="A29" s="50"/>
      <c r="B29" s="7"/>
      <c r="C29" s="34">
        <f t="shared" si="4"/>
        <v>2.86938</v>
      </c>
      <c r="D29" s="46">
        <f t="shared" si="2"/>
        <v>0</v>
      </c>
      <c r="E29" s="27">
        <v>300400</v>
      </c>
      <c r="F29" s="28">
        <f>E29*0.98535</f>
        <v>295999.13999999996</v>
      </c>
      <c r="G29" s="14"/>
      <c r="H29" s="28">
        <f>E29*0.01061</f>
        <v>3187.2439999999997</v>
      </c>
      <c r="I29" s="28">
        <f t="shared" si="7"/>
        <v>1213.6160000000446</v>
      </c>
      <c r="J29" s="15">
        <v>0.124</v>
      </c>
      <c r="K29" s="16">
        <v>0.1227</v>
      </c>
      <c r="L29" s="28"/>
      <c r="M29" s="16">
        <v>8.0000000000000004E-4</v>
      </c>
      <c r="N29" s="16">
        <f t="shared" ref="N29" si="21">J29-K29-M29</f>
        <v>4.9999999999999557E-4</v>
      </c>
      <c r="O29" s="9">
        <f t="shared" si="3"/>
        <v>2.6547180093209057</v>
      </c>
      <c r="P29" s="30">
        <v>797477.29</v>
      </c>
      <c r="Q29" s="30"/>
      <c r="R29" s="21"/>
    </row>
    <row r="30" spans="1:20" ht="13.5" thickBot="1">
      <c r="A30" s="48" t="s">
        <v>7</v>
      </c>
      <c r="B30" s="6">
        <f>B27</f>
        <v>300398.41666666669</v>
      </c>
      <c r="C30" s="34">
        <f t="shared" si="4"/>
        <v>2.86938</v>
      </c>
      <c r="D30" s="46">
        <f t="shared" si="2"/>
        <v>861957.20881500002</v>
      </c>
      <c r="E30" s="25">
        <v>260401</v>
      </c>
      <c r="F30" s="25">
        <f>SUM(F31:F32)</f>
        <v>256541.85717999999</v>
      </c>
      <c r="G30" s="25">
        <f t="shared" ref="G30:I30" si="22">SUM(G31:G32)</f>
        <v>0</v>
      </c>
      <c r="H30" s="25">
        <f t="shared" si="22"/>
        <v>2700.3583699999999</v>
      </c>
      <c r="I30" s="25">
        <f t="shared" si="22"/>
        <v>1158.7844500000153</v>
      </c>
      <c r="J30" s="22">
        <f>SUM(J31:J32)</f>
        <v>0.70100000000000007</v>
      </c>
      <c r="K30" s="24">
        <f t="shared" ref="K30:M30" si="23">SUM(K31:K32)</f>
        <v>0.69080000000000008</v>
      </c>
      <c r="L30" s="33">
        <f t="shared" si="23"/>
        <v>0</v>
      </c>
      <c r="M30" s="24">
        <f t="shared" si="23"/>
        <v>7.28E-3</v>
      </c>
      <c r="N30" s="24">
        <f>SUM(N31:N32)</f>
        <v>2.9200000000000012E-3</v>
      </c>
      <c r="O30" s="24">
        <f>P30/E30</f>
        <v>3.2804700058755536</v>
      </c>
      <c r="P30" s="23">
        <f>SUM(P31:P32)</f>
        <v>854237.67</v>
      </c>
      <c r="Q30" s="40">
        <v>694383.96</v>
      </c>
      <c r="R30" s="10">
        <f>D30-P30</f>
        <v>7719.5388149999781</v>
      </c>
      <c r="T30" s="11"/>
    </row>
    <row r="31" spans="1:20" ht="13.5" thickBot="1">
      <c r="A31" s="49"/>
      <c r="B31" s="7"/>
      <c r="C31" s="34">
        <f t="shared" si="4"/>
        <v>2.86938</v>
      </c>
      <c r="D31" s="46">
        <f t="shared" si="2"/>
        <v>0</v>
      </c>
      <c r="E31" s="27">
        <f>E30-E32</f>
        <v>-39999</v>
      </c>
      <c r="F31" s="28">
        <f>E31*0.98518</f>
        <v>-39406.214820000001</v>
      </c>
      <c r="G31" s="14"/>
      <c r="H31" s="35">
        <f>E31*0.01037</f>
        <v>-414.78963000000005</v>
      </c>
      <c r="I31" s="28">
        <f>E31-F31-H31</f>
        <v>-177.9955499999989</v>
      </c>
      <c r="J31" s="15">
        <v>-0.108</v>
      </c>
      <c r="K31" s="16">
        <v>-0.1061</v>
      </c>
      <c r="L31" s="28"/>
      <c r="M31" s="16">
        <v>-1.1199999999999999E-3</v>
      </c>
      <c r="N31" s="16">
        <f>J31-K31-M31</f>
        <v>-7.7999999999999901E-4</v>
      </c>
      <c r="O31" s="9">
        <f t="shared" si="3"/>
        <v>0</v>
      </c>
      <c r="P31" s="30"/>
      <c r="Q31" s="30"/>
      <c r="R31" s="21"/>
      <c r="T31" s="11"/>
    </row>
    <row r="32" spans="1:20" ht="13.5" thickBot="1">
      <c r="A32" s="50"/>
      <c r="B32" s="7"/>
      <c r="C32" s="34">
        <f t="shared" si="4"/>
        <v>2.86938</v>
      </c>
      <c r="D32" s="46">
        <f t="shared" si="2"/>
        <v>0</v>
      </c>
      <c r="E32" s="27">
        <v>300400</v>
      </c>
      <c r="F32" s="28">
        <f>E32*0.98518</f>
        <v>295948.07199999999</v>
      </c>
      <c r="G32" s="14"/>
      <c r="H32" s="28">
        <f>E32*0.01037</f>
        <v>3115.1480000000001</v>
      </c>
      <c r="I32" s="28">
        <f t="shared" si="7"/>
        <v>1336.7800000000143</v>
      </c>
      <c r="J32" s="15">
        <v>0.80900000000000005</v>
      </c>
      <c r="K32" s="16">
        <v>0.79690000000000005</v>
      </c>
      <c r="L32" s="28"/>
      <c r="M32" s="16">
        <v>8.3999999999999995E-3</v>
      </c>
      <c r="N32" s="16">
        <f t="shared" ref="N32" si="24">J32-K32-M32</f>
        <v>3.7000000000000002E-3</v>
      </c>
      <c r="O32" s="9">
        <f t="shared" si="3"/>
        <v>2.8436673435419442</v>
      </c>
      <c r="P32" s="30">
        <v>854237.67</v>
      </c>
      <c r="Q32" s="30"/>
      <c r="R32" s="21"/>
      <c r="T32" s="11"/>
    </row>
    <row r="33" spans="1:23" ht="13.5" thickBot="1">
      <c r="A33" s="48" t="s">
        <v>8</v>
      </c>
      <c r="B33" s="6">
        <f>B30</f>
        <v>300398.41666666669</v>
      </c>
      <c r="C33" s="34">
        <f t="shared" si="4"/>
        <v>2.86938</v>
      </c>
      <c r="D33" s="46">
        <f t="shared" si="2"/>
        <v>861957.20881500002</v>
      </c>
      <c r="E33" s="25">
        <v>271185</v>
      </c>
      <c r="F33" s="25">
        <f>SUM(F34:F35)</f>
        <v>267380.27444999997</v>
      </c>
      <c r="G33" s="25">
        <f t="shared" ref="G33:I33" si="25">SUM(G34:G35)</f>
        <v>0</v>
      </c>
      <c r="H33" s="25">
        <f t="shared" si="25"/>
        <v>2592.5286000000001</v>
      </c>
      <c r="I33" s="25">
        <f t="shared" si="25"/>
        <v>1212.1969500000246</v>
      </c>
      <c r="J33" s="22">
        <f>SUM(J34:J35)</f>
        <v>0.625</v>
      </c>
      <c r="K33" s="24">
        <f t="shared" ref="K33:M33" si="26">SUM(K34:K35)</f>
        <v>0.6159</v>
      </c>
      <c r="L33" s="33">
        <f t="shared" si="26"/>
        <v>0</v>
      </c>
      <c r="M33" s="24">
        <f t="shared" si="26"/>
        <v>5.96E-3</v>
      </c>
      <c r="N33" s="24">
        <f>SUM(N34:N35)</f>
        <v>3.1399999999999137E-3</v>
      </c>
      <c r="O33" s="24">
        <f>P33/E33</f>
        <v>3.0591700130906947</v>
      </c>
      <c r="P33" s="23">
        <f>SUM(P34:P35)</f>
        <v>829601.02</v>
      </c>
      <c r="Q33" s="40">
        <v>812396.31</v>
      </c>
      <c r="R33" s="10">
        <f>D33-P33</f>
        <v>32356.188815000001</v>
      </c>
    </row>
    <row r="34" spans="1:23" ht="13.5" thickBot="1">
      <c r="A34" s="49"/>
      <c r="B34" s="7"/>
      <c r="C34" s="34">
        <f t="shared" si="4"/>
        <v>2.86938</v>
      </c>
      <c r="D34" s="46">
        <f t="shared" si="2"/>
        <v>0</v>
      </c>
      <c r="E34" s="27">
        <f>E33-E35</f>
        <v>-29215</v>
      </c>
      <c r="F34" s="28">
        <f>E34*0.98597</f>
        <v>-28805.113550000002</v>
      </c>
      <c r="G34" s="14"/>
      <c r="H34" s="35">
        <f>E34*0.00956</f>
        <v>-279.29540000000003</v>
      </c>
      <c r="I34" s="28">
        <f>E34-F34-H34</f>
        <v>-130.59104999999812</v>
      </c>
      <c r="J34" s="15">
        <v>-6.7000000000000004E-2</v>
      </c>
      <c r="K34" s="16">
        <v>-6.6299999999999998E-2</v>
      </c>
      <c r="L34" s="28"/>
      <c r="M34" s="16">
        <v>-6.4000000000000005E-4</v>
      </c>
      <c r="N34" s="16">
        <f>J34-K34-M34</f>
        <v>-6.000000000000612E-5</v>
      </c>
      <c r="O34" s="9">
        <f t="shared" si="3"/>
        <v>0</v>
      </c>
      <c r="P34" s="30"/>
      <c r="Q34" s="30"/>
      <c r="R34" s="21"/>
      <c r="T34" s="31"/>
    </row>
    <row r="35" spans="1:23" ht="13.5" thickBot="1">
      <c r="A35" s="50"/>
      <c r="B35" s="7"/>
      <c r="C35" s="34">
        <f t="shared" si="4"/>
        <v>2.86938</v>
      </c>
      <c r="D35" s="46">
        <f t="shared" si="2"/>
        <v>0</v>
      </c>
      <c r="E35" s="27">
        <v>300400</v>
      </c>
      <c r="F35" s="28">
        <f>E35*0.98597</f>
        <v>296185.38799999998</v>
      </c>
      <c r="G35" s="14"/>
      <c r="H35" s="35">
        <f>E35*0.00956</f>
        <v>2871.8240000000001</v>
      </c>
      <c r="I35" s="35">
        <f t="shared" si="7"/>
        <v>1342.7880000000227</v>
      </c>
      <c r="J35" s="15">
        <v>0.69199999999999995</v>
      </c>
      <c r="K35" s="16">
        <v>0.68220000000000003</v>
      </c>
      <c r="L35" s="28"/>
      <c r="M35" s="16">
        <v>6.6E-3</v>
      </c>
      <c r="N35" s="16">
        <f t="shared" ref="N35" si="27">J35-K35-M35</f>
        <v>3.1999999999999199E-3</v>
      </c>
      <c r="O35" s="9">
        <f t="shared" si="3"/>
        <v>2.7616545272969373</v>
      </c>
      <c r="P35" s="30">
        <v>829601.02</v>
      </c>
      <c r="Q35" s="30"/>
      <c r="R35" s="21"/>
      <c r="T35" s="11"/>
    </row>
    <row r="36" spans="1:23" ht="13.5" thickBot="1">
      <c r="A36" s="48" t="s">
        <v>9</v>
      </c>
      <c r="B36" s="6">
        <f>B33</f>
        <v>300398.41666666669</v>
      </c>
      <c r="C36" s="34">
        <f t="shared" si="4"/>
        <v>2.86938</v>
      </c>
      <c r="D36" s="46">
        <f t="shared" si="2"/>
        <v>861957.20881500002</v>
      </c>
      <c r="E36" s="25">
        <v>297690</v>
      </c>
      <c r="F36" s="25">
        <f>SUM(F37:F38)</f>
        <v>292846.58369999996</v>
      </c>
      <c r="G36" s="25">
        <f t="shared" ref="G36:I36" si="28">SUM(G37:G38)</f>
        <v>0</v>
      </c>
      <c r="H36" s="25">
        <f t="shared" si="28"/>
        <v>3081.0915</v>
      </c>
      <c r="I36" s="25">
        <f t="shared" si="28"/>
        <v>1762.324800000031</v>
      </c>
      <c r="J36" s="22">
        <f>SUM(J37:J38)</f>
        <v>0.69399999999999995</v>
      </c>
      <c r="K36" s="24">
        <f t="shared" ref="K36:M36" si="29">SUM(K37:K38)</f>
        <v>0.68290000000000006</v>
      </c>
      <c r="L36" s="33">
        <f t="shared" si="29"/>
        <v>0</v>
      </c>
      <c r="M36" s="24">
        <f t="shared" si="29"/>
        <v>7.1300000000000001E-3</v>
      </c>
      <c r="N36" s="24">
        <f>SUM(N37:N38)</f>
        <v>3.9699999999999094E-3</v>
      </c>
      <c r="O36" s="24">
        <f>P36/E36</f>
        <v>3.0864200006718399</v>
      </c>
      <c r="P36" s="23">
        <f>SUM(P37:P38)</f>
        <v>918796.37</v>
      </c>
      <c r="Q36" s="40">
        <v>801953.51</v>
      </c>
      <c r="R36" s="10">
        <f>D36-P36</f>
        <v>-56839.161184999975</v>
      </c>
      <c r="T36" s="12"/>
    </row>
    <row r="37" spans="1:23" ht="13.5" thickBot="1">
      <c r="A37" s="49"/>
      <c r="B37" s="7"/>
      <c r="C37" s="34">
        <f t="shared" si="4"/>
        <v>2.86938</v>
      </c>
      <c r="D37" s="46">
        <f t="shared" si="2"/>
        <v>0</v>
      </c>
      <c r="E37" s="27">
        <f>E36-E38</f>
        <v>-2710</v>
      </c>
      <c r="F37" s="28">
        <f>E37*0.98373</f>
        <v>-2665.9083000000001</v>
      </c>
      <c r="G37" s="14"/>
      <c r="H37" s="35">
        <f>E37*0.01035</f>
        <v>-28.048500000000001</v>
      </c>
      <c r="I37" s="28">
        <f>E37-F37-H37</f>
        <v>-16.043199999999946</v>
      </c>
      <c r="J37" s="15">
        <v>-6.0000000000000001E-3</v>
      </c>
      <c r="K37" s="16">
        <v>-6.1999999999999998E-3</v>
      </c>
      <c r="L37" s="28"/>
      <c r="M37" s="16">
        <v>-6.9999999999999994E-5</v>
      </c>
      <c r="N37" s="16">
        <f>J37-K37-M37</f>
        <v>2.6999999999999962E-4</v>
      </c>
      <c r="O37" s="9">
        <f t="shared" si="3"/>
        <v>0</v>
      </c>
      <c r="P37" s="30"/>
      <c r="Q37" s="30"/>
      <c r="R37" s="21"/>
      <c r="T37" s="12"/>
    </row>
    <row r="38" spans="1:23" ht="13.5" thickBot="1">
      <c r="A38" s="50"/>
      <c r="B38" s="7"/>
      <c r="C38" s="34">
        <f t="shared" si="4"/>
        <v>2.86938</v>
      </c>
      <c r="D38" s="46">
        <f t="shared" si="2"/>
        <v>0</v>
      </c>
      <c r="E38" s="27">
        <v>300400</v>
      </c>
      <c r="F38" s="28">
        <f>E38*0.98373</f>
        <v>295512.49199999997</v>
      </c>
      <c r="G38" s="14"/>
      <c r="H38" s="35">
        <f>E38*0.01035</f>
        <v>3109.14</v>
      </c>
      <c r="I38" s="28">
        <f t="shared" si="7"/>
        <v>1778.3680000000309</v>
      </c>
      <c r="J38" s="15">
        <v>0.7</v>
      </c>
      <c r="K38" s="16">
        <v>0.68910000000000005</v>
      </c>
      <c r="L38" s="28"/>
      <c r="M38" s="16">
        <v>7.1999999999999998E-3</v>
      </c>
      <c r="N38" s="16">
        <f t="shared" ref="N38" si="30">J38-K38-M38</f>
        <v>3.69999999999991E-3</v>
      </c>
      <c r="O38" s="9">
        <f t="shared" si="3"/>
        <v>3.058576464713715</v>
      </c>
      <c r="P38" s="30">
        <v>918796.37</v>
      </c>
      <c r="Q38" s="30"/>
      <c r="R38" s="21"/>
      <c r="T38" s="12"/>
    </row>
    <row r="39" spans="1:23" ht="13.5" thickBot="1">
      <c r="A39" s="48" t="s">
        <v>32</v>
      </c>
      <c r="B39" s="7">
        <f>B36</f>
        <v>300398.41666666669</v>
      </c>
      <c r="C39" s="34">
        <f t="shared" si="4"/>
        <v>2.86938</v>
      </c>
      <c r="D39" s="46">
        <f t="shared" si="2"/>
        <v>861957.20881500002</v>
      </c>
      <c r="E39" s="25">
        <v>311487</v>
      </c>
      <c r="F39" s="25">
        <f>SUM(F40:F41)</f>
        <v>306646.49202000001</v>
      </c>
      <c r="G39" s="25">
        <f t="shared" ref="G39:I39" si="31">SUM(G40:G41)</f>
        <v>0</v>
      </c>
      <c r="H39" s="25">
        <f t="shared" si="31"/>
        <v>2899.9439700000003</v>
      </c>
      <c r="I39" s="25">
        <f t="shared" si="31"/>
        <v>1940.5640100000146</v>
      </c>
      <c r="J39" s="22">
        <f>SUM(J40:J41)</f>
        <v>0.61499999999999999</v>
      </c>
      <c r="K39" s="24">
        <f t="shared" ref="K39:M39" si="32">SUM(K40:K41)</f>
        <v>0.60519999999999996</v>
      </c>
      <c r="L39" s="33">
        <f t="shared" si="32"/>
        <v>0</v>
      </c>
      <c r="M39" s="24">
        <f t="shared" si="32"/>
        <v>5.6999999999999993E-3</v>
      </c>
      <c r="N39" s="24">
        <f>SUM(N40:N41)</f>
        <v>4.0999999999999761E-3</v>
      </c>
      <c r="O39" s="24">
        <f>P39/E39</f>
        <v>2.8793191048101523</v>
      </c>
      <c r="P39" s="23">
        <f>SUM(P40:P41)</f>
        <v>896870.47</v>
      </c>
      <c r="Q39" s="40">
        <v>948077.53</v>
      </c>
      <c r="R39" s="10">
        <f>D39-P39</f>
        <v>-34913.261184999952</v>
      </c>
      <c r="T39" s="44"/>
      <c r="U39" s="44"/>
      <c r="V39" s="44"/>
      <c r="W39" s="44"/>
    </row>
    <row r="40" spans="1:23" ht="13.5" thickBot="1">
      <c r="A40" s="49"/>
      <c r="B40" s="7"/>
      <c r="C40" s="34">
        <f t="shared" si="4"/>
        <v>2.86938</v>
      </c>
      <c r="D40" s="46">
        <f t="shared" si="2"/>
        <v>0</v>
      </c>
      <c r="E40" s="27">
        <f>E39-E41</f>
        <v>11087</v>
      </c>
      <c r="F40" s="28">
        <f>E40*0.98446</f>
        <v>10914.70802</v>
      </c>
      <c r="G40" s="14"/>
      <c r="H40" s="35">
        <f>E40*0.00931</f>
        <v>103.21997</v>
      </c>
      <c r="I40" s="28">
        <f>E40-F40-H40</f>
        <v>69.072009999999963</v>
      </c>
      <c r="J40" s="15">
        <v>2.1999999999999999E-2</v>
      </c>
      <c r="K40" s="45">
        <v>2.1499999999999998E-2</v>
      </c>
      <c r="L40" s="14"/>
      <c r="M40" s="16">
        <v>2.0000000000000001E-4</v>
      </c>
      <c r="N40" s="16">
        <f>J40-K40-M40</f>
        <v>3.0000000000000046E-4</v>
      </c>
      <c r="O40" s="9">
        <f t="shared" si="3"/>
        <v>2.7121195995309821</v>
      </c>
      <c r="P40" s="30">
        <v>30069.27</v>
      </c>
      <c r="Q40" s="30"/>
      <c r="R40" s="21"/>
      <c r="T40" s="44"/>
      <c r="U40" s="44"/>
      <c r="V40" s="44"/>
      <c r="W40" s="44"/>
    </row>
    <row r="41" spans="1:23" ht="13.5" thickBot="1">
      <c r="A41" s="50"/>
      <c r="B41" s="6"/>
      <c r="C41" s="34">
        <f t="shared" si="4"/>
        <v>2.86938</v>
      </c>
      <c r="D41" s="46">
        <f t="shared" si="2"/>
        <v>0</v>
      </c>
      <c r="E41" s="27">
        <v>300400</v>
      </c>
      <c r="F41" s="28">
        <f>E41*0.98446</f>
        <v>295731.78399999999</v>
      </c>
      <c r="G41" s="14"/>
      <c r="H41" s="35">
        <f>E41*0.00931</f>
        <v>2796.7240000000002</v>
      </c>
      <c r="I41" s="28">
        <f t="shared" si="7"/>
        <v>1871.4920000000147</v>
      </c>
      <c r="J41" s="15">
        <v>0.59299999999999997</v>
      </c>
      <c r="K41" s="45">
        <v>0.5837</v>
      </c>
      <c r="L41" s="14"/>
      <c r="M41" s="16">
        <v>5.4999999999999997E-3</v>
      </c>
      <c r="N41" s="16">
        <f t="shared" ref="N41" si="33">J41-K41-M41</f>
        <v>3.7999999999999753E-3</v>
      </c>
      <c r="O41" s="9">
        <f t="shared" si="3"/>
        <v>2.8854900133155792</v>
      </c>
      <c r="P41" s="29">
        <v>866801.2</v>
      </c>
      <c r="Q41" s="30"/>
      <c r="R41" s="10"/>
      <c r="T41" s="44"/>
      <c r="U41" s="44"/>
      <c r="V41" s="44"/>
      <c r="W41" s="44"/>
    </row>
    <row r="42" spans="1:23" ht="13.5" thickBot="1">
      <c r="A42" s="3" t="s">
        <v>10</v>
      </c>
      <c r="B42" s="8">
        <f>3.604781*1000000</f>
        <v>3604781</v>
      </c>
      <c r="C42" s="34">
        <v>2.86938</v>
      </c>
      <c r="D42" s="46">
        <f>B42*C42</f>
        <v>10343486.50578</v>
      </c>
      <c r="E42" s="38">
        <f>E39+E36+E33+E30+E27+E24+E21+E18+E15+E12+E9+E6</f>
        <v>3303884</v>
      </c>
      <c r="F42" s="38">
        <f>SUM(F6,F9,F12,F15,F18,F21,F24,F27,F30,F33,F36,F39)</f>
        <v>3255917.8537599994</v>
      </c>
      <c r="G42" s="38">
        <f t="shared" ref="G42:I42" si="34">SUM(G6,G9,G12,G15,G18,G21,G24,G27,G30,G33,G36,G39)</f>
        <v>0</v>
      </c>
      <c r="H42" s="38">
        <f>SUM(H6,H9,H12,H15,H18,H21,H24,H27,H30,H33,H36,H39)</f>
        <v>31773.234489999995</v>
      </c>
      <c r="I42" s="38">
        <f t="shared" si="34"/>
        <v>16192.911750000041</v>
      </c>
      <c r="J42" s="20">
        <f>AVERAGE(J6,J9,J12,J15,J18,J21,J24,J27,J30,J33,J36,J39)</f>
        <v>0.66616666666666668</v>
      </c>
      <c r="K42" s="32">
        <f t="shared" ref="K42:N42" si="35">AVERAGE(K6,K9,K12,K15,K18,K21,K24,K27,K30,K33,K36,K39)</f>
        <v>0.65657500000000002</v>
      </c>
      <c r="L42" s="32">
        <f t="shared" si="35"/>
        <v>0</v>
      </c>
      <c r="M42" s="32">
        <f t="shared" si="35"/>
        <v>6.3533333333333332E-3</v>
      </c>
      <c r="N42" s="32">
        <f t="shared" si="35"/>
        <v>3.4524999999999899E-3</v>
      </c>
      <c r="O42" s="9">
        <f>P42/E42</f>
        <v>3.0214624696266568</v>
      </c>
      <c r="P42" s="5">
        <f>SUM(P6,P9,P12,P15,P18,P21,P24,P27,P30,P33,P36,P39)</f>
        <v>9982561.5099999979</v>
      </c>
      <c r="Q42" s="7"/>
      <c r="R42" s="5">
        <f t="shared" ref="R42" si="36">SUM(R6,R9,R12,R15,R18,R21,R24,R27,R30,R33,R36,R39)</f>
        <v>360924.99578000023</v>
      </c>
      <c r="T42" s="41"/>
      <c r="U42" s="44"/>
      <c r="V42" s="44"/>
      <c r="W42" s="44"/>
    </row>
    <row r="43" spans="1:23" ht="13.5" thickBot="1">
      <c r="E43" s="31">
        <f>E42-E44</f>
        <v>3303884</v>
      </c>
      <c r="F43" s="39">
        <f>E43*0.99029</f>
        <v>3271803.2863599998</v>
      </c>
      <c r="H43" s="35">
        <f>E43*0.00552</f>
        <v>18237.439679999999</v>
      </c>
      <c r="I43" s="28">
        <f>E43-F43-H43</f>
        <v>13843.273960000206</v>
      </c>
      <c r="T43" s="44"/>
      <c r="U43" s="44"/>
      <c r="V43" s="44"/>
      <c r="W43" s="44"/>
    </row>
    <row r="44" spans="1:23" ht="13.5" thickBot="1">
      <c r="E44" s="31"/>
      <c r="F44" s="39">
        <f>E44*0.99029</f>
        <v>0</v>
      </c>
      <c r="G44" s="11"/>
      <c r="H44" s="35">
        <f>E44*0.00552</f>
        <v>0</v>
      </c>
      <c r="I44" s="28">
        <f t="shared" ref="I44" si="37">E44-F44-H44</f>
        <v>0</v>
      </c>
      <c r="J44" s="11"/>
      <c r="K44" s="11"/>
      <c r="L44" s="11"/>
      <c r="M44" s="11"/>
      <c r="N44" s="11"/>
      <c r="O44" s="11"/>
      <c r="P44" s="11"/>
      <c r="Q44" s="11"/>
      <c r="R44" s="11"/>
      <c r="T44" s="44"/>
      <c r="U44" s="44"/>
      <c r="V44" s="44"/>
      <c r="W44" s="44"/>
    </row>
    <row r="45" spans="1:23">
      <c r="E45" s="31">
        <f>E6+E9+E12+E15+E18+E21+E24+E27+E30+E33+E36+E39</f>
        <v>3303884</v>
      </c>
      <c r="F45" s="19"/>
      <c r="G45" s="19"/>
      <c r="H45" s="19"/>
      <c r="I45" s="19"/>
      <c r="J45" s="19"/>
      <c r="K45" s="19"/>
      <c r="L45" s="19"/>
      <c r="M45" s="19"/>
      <c r="N45" s="11"/>
      <c r="O45" s="11"/>
      <c r="P45" s="11"/>
      <c r="Q45" s="11"/>
      <c r="R45" s="11"/>
      <c r="T45" s="44"/>
      <c r="U45" s="44"/>
      <c r="V45" s="44"/>
      <c r="W45" s="44"/>
    </row>
    <row r="46" spans="1:23">
      <c r="E46" s="11"/>
      <c r="F46" s="11"/>
      <c r="G46" s="19"/>
      <c r="H46" s="19"/>
      <c r="I46" s="19"/>
      <c r="J46" s="19"/>
      <c r="K46" s="19"/>
      <c r="L46" s="19"/>
      <c r="M46" s="19"/>
      <c r="N46" s="11"/>
      <c r="O46" s="43"/>
      <c r="P46" s="11"/>
      <c r="Q46" s="11"/>
      <c r="R46" s="11"/>
      <c r="T46" s="44"/>
      <c r="U46" s="44"/>
      <c r="V46" s="44"/>
      <c r="W46" s="44"/>
    </row>
    <row r="47" spans="1:23">
      <c r="E47" s="11">
        <v>3167373</v>
      </c>
      <c r="F47" s="11"/>
      <c r="G47" s="19"/>
      <c r="H47" s="19"/>
      <c r="I47" s="36"/>
      <c r="J47" s="19"/>
      <c r="K47" s="19"/>
      <c r="L47" s="19"/>
      <c r="M47" s="19"/>
      <c r="N47" s="11"/>
      <c r="O47" s="11"/>
      <c r="P47" s="11"/>
      <c r="Q47" s="11"/>
      <c r="R47" s="11"/>
      <c r="T47" s="44"/>
      <c r="U47" s="44"/>
      <c r="V47" s="44"/>
      <c r="W47" s="44"/>
    </row>
    <row r="48" spans="1:23">
      <c r="E48" s="37">
        <f>E45-E47</f>
        <v>136511</v>
      </c>
      <c r="F48" s="11"/>
      <c r="G48" s="19"/>
      <c r="H48" s="19"/>
      <c r="I48" s="19"/>
      <c r="J48" s="19"/>
      <c r="K48" s="19"/>
      <c r="L48" s="19"/>
      <c r="M48" s="19"/>
      <c r="N48" s="11"/>
      <c r="O48" s="11"/>
      <c r="P48" s="11"/>
      <c r="Q48" s="11"/>
      <c r="R48" s="11"/>
    </row>
    <row r="49" spans="4:18">
      <c r="E49" s="11"/>
      <c r="F49" s="11"/>
      <c r="G49" s="19"/>
      <c r="H49" s="19"/>
      <c r="I49" s="19"/>
      <c r="J49" s="19"/>
      <c r="K49" s="19"/>
      <c r="L49" s="19"/>
      <c r="M49" s="19"/>
      <c r="N49" s="11"/>
      <c r="O49" s="11"/>
      <c r="P49" s="11"/>
      <c r="Q49" s="11"/>
      <c r="R49" s="11"/>
    </row>
    <row r="50" spans="4:18">
      <c r="D50" s="11"/>
      <c r="E50" s="11"/>
      <c r="F50" s="51"/>
      <c r="G50" s="51"/>
      <c r="H50" s="19"/>
      <c r="I50" s="19"/>
      <c r="J50" s="19"/>
      <c r="K50" s="19"/>
      <c r="L50" s="19"/>
      <c r="M50" s="19"/>
      <c r="N50" s="11"/>
      <c r="O50" s="11"/>
      <c r="P50" s="11"/>
      <c r="Q50" s="11"/>
      <c r="R50" s="11"/>
    </row>
    <row r="51" spans="4:18">
      <c r="E51" s="11"/>
      <c r="F51" s="51"/>
      <c r="G51" s="51"/>
      <c r="H51" s="19"/>
      <c r="I51" s="19"/>
      <c r="J51" s="19"/>
      <c r="K51" s="19"/>
      <c r="L51" s="19"/>
      <c r="M51" s="19"/>
      <c r="N51" s="11"/>
      <c r="O51" s="11"/>
      <c r="P51" s="11"/>
      <c r="Q51" s="11"/>
      <c r="R51" s="11"/>
    </row>
    <row r="52" spans="4:18">
      <c r="E52" s="11"/>
      <c r="F52" s="11"/>
      <c r="G52" s="19"/>
      <c r="H52" s="19"/>
      <c r="I52" s="19"/>
      <c r="J52" s="19"/>
      <c r="K52" s="19"/>
      <c r="L52" s="19"/>
      <c r="M52" s="19"/>
      <c r="N52" s="11"/>
      <c r="O52" s="11"/>
      <c r="P52" s="11"/>
      <c r="Q52" s="11"/>
      <c r="R52" s="11"/>
    </row>
    <row r="53" spans="4:18">
      <c r="E53" s="11"/>
      <c r="F53" s="11"/>
      <c r="G53" s="19"/>
      <c r="H53" s="19"/>
      <c r="I53" s="19"/>
      <c r="J53" s="19"/>
      <c r="K53" s="19"/>
      <c r="L53" s="19"/>
      <c r="M53" s="19"/>
      <c r="N53" s="11"/>
      <c r="O53" s="11"/>
      <c r="P53" s="11"/>
      <c r="Q53" s="11"/>
      <c r="R53" s="11"/>
    </row>
    <row r="54" spans="4:18"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4:18"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4:18"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</sheetData>
  <mergeCells count="27">
    <mergeCell ref="A1:R1"/>
    <mergeCell ref="A3:A5"/>
    <mergeCell ref="B3:D3"/>
    <mergeCell ref="E3:Q3"/>
    <mergeCell ref="B4:B5"/>
    <mergeCell ref="C4:C5"/>
    <mergeCell ref="D4:D5"/>
    <mergeCell ref="F4:I4"/>
    <mergeCell ref="J4:N4"/>
    <mergeCell ref="O4:O5"/>
    <mergeCell ref="A30:A32"/>
    <mergeCell ref="P4:P5"/>
    <mergeCell ref="Q4:Q5"/>
    <mergeCell ref="R4:R5"/>
    <mergeCell ref="A6:A8"/>
    <mergeCell ref="A9:A11"/>
    <mergeCell ref="A12:A14"/>
    <mergeCell ref="A15:A17"/>
    <mergeCell ref="A18:A20"/>
    <mergeCell ref="A21:A23"/>
    <mergeCell ref="A24:A26"/>
    <mergeCell ref="A27:A29"/>
    <mergeCell ref="A33:A35"/>
    <mergeCell ref="A36:A38"/>
    <mergeCell ref="A39:A41"/>
    <mergeCell ref="F50:G50"/>
    <mergeCell ref="F51:G51"/>
  </mergeCells>
  <pageMargins left="0.31496062992125984" right="0.31496062992125984" top="0.35433070866141736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Nikita.Novoselov</cp:lastModifiedBy>
  <cp:lastPrinted>2023-01-02T09:48:36Z</cp:lastPrinted>
  <dcterms:created xsi:type="dcterms:W3CDTF">2015-07-23T07:53:33Z</dcterms:created>
  <dcterms:modified xsi:type="dcterms:W3CDTF">2023-01-20T03:12:58Z</dcterms:modified>
</cp:coreProperties>
</file>